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8" Type="http://schemas.openxmlformats.org/officeDocument/2006/relationships/custom-properties" Target="docProps/custom.xml"/><Relationship Id="rId7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6" Type="http://schemas.openxmlformats.org/package/2006/relationships/metadata/core-properties" Target="docProps/core.xml"/><Relationship Id="rId5" Type="http://schemas.microsoft.com/office/2006/relationships/ui/userCustomization" Target="userCustomization/customUI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tjsp.sharepoint.com/teams/GRP_ANLISEDETREETP/Documentos Compartilhados/General/2025/CADERNOS TÉCNICOS/1. LIMPEZA/CADERNO - SEM Prêmio Assiduidade/"/>
    </mc:Choice>
  </mc:AlternateContent>
  <xr:revisionPtr revIDLastSave="72" documentId="13_ncr:1_{C5920ADE-7342-496E-A1A1-88D566B45EF8}" xr6:coauthVersionLast="47" xr6:coauthVersionMax="47" xr10:uidLastSave="{3F494D7B-958C-4662-8DF4-02235898E63E}"/>
  <bookViews>
    <workbookView xWindow="-120" yWindow="-120" windowWidth="29040" windowHeight="15720" tabRatio="900" activeTab="2" xr2:uid="{00000000-000D-0000-FFFF-FFFF00000000}"/>
  </bookViews>
  <sheets>
    <sheet name="Home" sheetId="34" r:id="rId1"/>
    <sheet name="Dados Cadastrais" sheetId="14" r:id="rId2"/>
    <sheet name="Indicadores Financeiros" sheetId="20" r:id="rId3"/>
    <sheet name="Relatório Custo" sheetId="7" r:id="rId4"/>
    <sheet name="Custo  Resumido" sheetId="24" r:id="rId5"/>
    <sheet name="Custo  Resumido por local" sheetId="28" r:id="rId6"/>
    <sheet name="Custo por Função" sheetId="26" r:id="rId7"/>
    <sheet name="Tabela de Códigos e Valores" sheetId="27" r:id="rId8"/>
    <sheet name="Centro de Custo - ISS" sheetId="30" r:id="rId9"/>
    <sheet name="Tabela Custo Localidade" sheetId="32" r:id="rId10"/>
    <sheet name="BIP" sheetId="35" state="hidden" r:id="rId11"/>
  </sheets>
  <definedNames>
    <definedName name="_xlnm._FilterDatabase" localSheetId="4" hidden="1">'Custo  Resumido'!$A$2:$K$40</definedName>
    <definedName name="_xlnm._FilterDatabase" localSheetId="5" hidden="1">'Custo  Resumido por local'!$A$4:$K$42</definedName>
    <definedName name="_xlnm._FilterDatabase" localSheetId="3" hidden="1">'Relatório Custo'!$A$2:$MI$74</definedName>
    <definedName name="_xlnm._FilterDatabase" localSheetId="9" hidden="1">'Tabela Custo Localidade'!$A$3:$G$37</definedName>
    <definedName name="_xlnm._FilterDatabase" localSheetId="7" hidden="1">'Tabela de Códigos e Valores'!$A$4:$AJ$40</definedName>
    <definedName name="_Toc414545506" localSheetId="8">'Centro de Custo - ISS'!#REF!</definedName>
    <definedName name="_Toc414545507" localSheetId="8">'Centro de Custo - ISS'!#REF!</definedName>
    <definedName name="_Toc414545508" localSheetId="8">'Centro de Custo - ISS'!#REF!</definedName>
    <definedName name="_Toc414545509" localSheetId="8">'Centro de Custo - ISS'!#REF!</definedName>
    <definedName name="_Toc414545510" localSheetId="8">'Centro de Custo - ISS'!#REF!</definedName>
    <definedName name="_Toc414545511" localSheetId="8">'Centro de Custo - ISS'!#REF!</definedName>
    <definedName name="_Toc414545512" localSheetId="8">'Centro de Custo - ISS'!#REF!</definedName>
    <definedName name="_Toc414545513" localSheetId="8">'Centro de Custo - ISS'!#REF!</definedName>
    <definedName name="_Toc414545514" localSheetId="8">'Centro de Custo - ISS'!#REF!</definedName>
    <definedName name="_xlnm.Print_Area" localSheetId="4">'Custo  Resumido'!$A$1:$K$83</definedName>
    <definedName name="_xlnm.Print_Area" localSheetId="5">'Custo  Resumido por local'!$A$1:$K$85</definedName>
    <definedName name="_xlnm.Print_Area" localSheetId="6">'Custo por Função'!$A$1:$H$127</definedName>
    <definedName name="_xlnm.Print_Area" localSheetId="1">'Dados Cadastrais'!$A$1:$H$20</definedName>
    <definedName name="_xlnm.Print_Area" localSheetId="2">'Indicadores Financeiros'!$A$1:$J$224</definedName>
    <definedName name="_xlnm.Print_Area" localSheetId="3">'Relatório Custo'!$A$1:$AE$777</definedName>
    <definedName name="_xlnm.Print_Area" localSheetId="9">'Tabela Custo Localidade'!$A$1:$G$40</definedName>
    <definedName name="_xlnm.Print_Area" localSheetId="7">'Tabela de Códigos e Valores'!$A$1:$AJ$41</definedName>
    <definedName name="_xlnm.Print_Titles" localSheetId="3">'Relatório Custo'!$1:$2</definedName>
    <definedName name="_xlnm.Print_Titles" localSheetId="7">'Tabela de Códigos e Valores'!$A:$B,'Tabela de Códigos e Valores'!$1:$4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6" i="26" l="1"/>
  <c r="I8" i="28"/>
  <c r="I16" i="28"/>
  <c r="I17" i="28"/>
  <c r="I19" i="28"/>
  <c r="I22" i="28"/>
  <c r="I23" i="28"/>
  <c r="I24" i="28"/>
  <c r="I26" i="28"/>
  <c r="I34" i="28"/>
  <c r="I35" i="28"/>
  <c r="I39" i="28"/>
  <c r="I40" i="28"/>
  <c r="AA19" i="27"/>
  <c r="AA22" i="27"/>
  <c r="AA23" i="27"/>
  <c r="AA24" i="27"/>
  <c r="AA26" i="27"/>
  <c r="AA34" i="27"/>
  <c r="AA35" i="27"/>
  <c r="AA39" i="27"/>
  <c r="AA40" i="27"/>
  <c r="AA8" i="27"/>
  <c r="AA16" i="27"/>
  <c r="AA17" i="27"/>
  <c r="J124" i="20"/>
  <c r="G124" i="20"/>
  <c r="H145" i="20" l="1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AC16" i="27"/>
  <c r="AC17" i="27"/>
  <c r="AC22" i="27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7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173" i="20"/>
  <c r="C172" i="20"/>
  <c r="C171" i="20"/>
  <c r="C170" i="20"/>
  <c r="C169" i="20"/>
  <c r="C168" i="20"/>
  <c r="C167" i="20"/>
  <c r="C166" i="20"/>
  <c r="C165" i="20"/>
  <c r="C164" i="20"/>
  <c r="C163" i="20"/>
  <c r="C162" i="20"/>
  <c r="C161" i="20"/>
  <c r="C160" i="20"/>
  <c r="C159" i="20"/>
  <c r="C158" i="20"/>
  <c r="C157" i="20"/>
  <c r="C156" i="20"/>
  <c r="C155" i="20"/>
  <c r="C154" i="20"/>
  <c r="C153" i="20"/>
  <c r="C152" i="20"/>
  <c r="C151" i="20"/>
  <c r="C150" i="20"/>
  <c r="C149" i="20"/>
  <c r="C148" i="20"/>
  <c r="C147" i="20"/>
  <c r="C146" i="20"/>
  <c r="C145" i="20"/>
  <c r="C11" i="26" s="1"/>
  <c r="D81" i="26" l="1"/>
  <c r="AH6" i="27"/>
  <c r="AH7" i="27"/>
  <c r="AH8" i="27"/>
  <c r="AH9" i="27"/>
  <c r="AH10" i="27"/>
  <c r="AH11" i="27"/>
  <c r="AH12" i="27"/>
  <c r="AH13" i="27"/>
  <c r="AH14" i="27"/>
  <c r="AH15" i="27"/>
  <c r="AH16" i="27"/>
  <c r="AH17" i="27"/>
  <c r="AH18" i="27"/>
  <c r="AH19" i="27"/>
  <c r="AH20" i="27"/>
  <c r="AH21" i="27"/>
  <c r="AH22" i="27"/>
  <c r="AH23" i="27"/>
  <c r="AH24" i="27"/>
  <c r="AH25" i="27"/>
  <c r="AH26" i="27"/>
  <c r="AH27" i="27"/>
  <c r="AH28" i="27"/>
  <c r="AH29" i="27"/>
  <c r="AH30" i="27"/>
  <c r="AH31" i="27"/>
  <c r="AH32" i="27"/>
  <c r="AH33" i="27"/>
  <c r="AH34" i="27"/>
  <c r="AH35" i="27"/>
  <c r="AH36" i="27"/>
  <c r="AH37" i="27"/>
  <c r="AH38" i="27"/>
  <c r="AH39" i="27"/>
  <c r="AH40" i="27"/>
  <c r="AH5" i="27"/>
  <c r="C38" i="7"/>
  <c r="C36" i="7"/>
  <c r="C35" i="7"/>
  <c r="H37" i="28" s="1"/>
  <c r="C34" i="7"/>
  <c r="H36" i="28" s="1"/>
  <c r="C33" i="7"/>
  <c r="C32" i="7"/>
  <c r="C14" i="7"/>
  <c r="C13" i="7"/>
  <c r="C12" i="7"/>
  <c r="C10" i="7"/>
  <c r="C9" i="7"/>
  <c r="H11" i="28" s="1"/>
  <c r="C8" i="7"/>
  <c r="C7" i="7"/>
  <c r="C6" i="7"/>
  <c r="C64" i="7"/>
  <c r="C72" i="7"/>
  <c r="C71" i="7"/>
  <c r="C70" i="7"/>
  <c r="C69" i="7"/>
  <c r="C68" i="7"/>
  <c r="C66" i="7"/>
  <c r="C65" i="7"/>
  <c r="C59" i="7"/>
  <c r="C58" i="7"/>
  <c r="C57" i="7"/>
  <c r="C47" i="7"/>
  <c r="C46" i="7"/>
  <c r="C45" i="7"/>
  <c r="C39" i="7"/>
  <c r="C11" i="7"/>
  <c r="C37" i="7"/>
  <c r="C67" i="7"/>
  <c r="C73" i="7"/>
  <c r="C18" i="7"/>
  <c r="H20" i="28" s="1"/>
  <c r="C49" i="7"/>
  <c r="C74" i="7"/>
  <c r="C15" i="7"/>
  <c r="C25" i="7"/>
  <c r="F8" i="26"/>
  <c r="C17" i="7"/>
  <c r="H19" i="28" s="1"/>
  <c r="C26" i="7"/>
  <c r="C51" i="7"/>
  <c r="C27" i="7"/>
  <c r="H29" i="28" s="1"/>
  <c r="C52" i="7"/>
  <c r="C28" i="7"/>
  <c r="H30" i="28" s="1"/>
  <c r="C53" i="7"/>
  <c r="C54" i="7"/>
  <c r="C16" i="7"/>
  <c r="C48" i="7"/>
  <c r="C50" i="7"/>
  <c r="C29" i="7"/>
  <c r="H31" i="28" s="1"/>
  <c r="C30" i="7"/>
  <c r="H32" i="28" s="1"/>
  <c r="C55" i="7"/>
  <c r="C5" i="7"/>
  <c r="C31" i="7"/>
  <c r="C56" i="7"/>
  <c r="C20" i="7"/>
  <c r="C40" i="7"/>
  <c r="C60" i="7"/>
  <c r="C41" i="7"/>
  <c r="C63" i="7"/>
  <c r="C19" i="7"/>
  <c r="C21" i="7"/>
  <c r="H23" i="28" s="1"/>
  <c r="C61" i="7"/>
  <c r="C22" i="7"/>
  <c r="H24" i="28" s="1"/>
  <c r="C42" i="7"/>
  <c r="C62" i="7"/>
  <c r="C23" i="7"/>
  <c r="H25" i="28" s="1"/>
  <c r="C43" i="7"/>
  <c r="C4" i="7"/>
  <c r="C24" i="7"/>
  <c r="C44" i="7"/>
  <c r="C3" i="7"/>
  <c r="H6" i="28" l="1"/>
  <c r="H21" i="28"/>
  <c r="H12" i="28"/>
  <c r="H38" i="28"/>
  <c r="H22" i="28"/>
  <c r="H28" i="28"/>
  <c r="H14" i="28"/>
  <c r="H40" i="28"/>
  <c r="H15" i="28"/>
  <c r="H26" i="28"/>
  <c r="H33" i="28"/>
  <c r="H39" i="28"/>
  <c r="H16" i="28"/>
  <c r="H7" i="28"/>
  <c r="H27" i="28"/>
  <c r="H13" i="28"/>
  <c r="H8" i="28"/>
  <c r="H34" i="28"/>
  <c r="H5" i="28"/>
  <c r="H15" i="26"/>
  <c r="H18" i="28"/>
  <c r="H17" i="28"/>
  <c r="H9" i="28"/>
  <c r="H35" i="28"/>
  <c r="H10" i="28"/>
  <c r="J34" i="20"/>
  <c r="J35" i="20"/>
  <c r="D80" i="26"/>
  <c r="E80" i="26"/>
  <c r="J49" i="20"/>
  <c r="J38" i="20"/>
  <c r="J41" i="20"/>
  <c r="J44" i="20"/>
  <c r="Z38" i="27"/>
  <c r="Z29" i="27"/>
  <c r="Z27" i="27"/>
  <c r="Z22" i="27"/>
  <c r="Z16" i="27"/>
  <c r="Z17" i="27"/>
  <c r="Z6" i="27"/>
  <c r="Z12" i="27"/>
  <c r="J59" i="20"/>
  <c r="I107" i="20" l="1"/>
  <c r="J57" i="20"/>
  <c r="J56" i="20"/>
  <c r="J45" i="20" s="1"/>
  <c r="F57" i="26" s="1"/>
  <c r="C10" i="26"/>
  <c r="E107" i="26" s="1"/>
  <c r="U8" i="27"/>
  <c r="U16" i="27"/>
  <c r="U17" i="27"/>
  <c r="U19" i="27"/>
  <c r="U22" i="27"/>
  <c r="U23" i="27"/>
  <c r="U24" i="27"/>
  <c r="U26" i="27"/>
  <c r="U34" i="27"/>
  <c r="U35" i="27"/>
  <c r="U39" i="27"/>
  <c r="U40" i="27"/>
  <c r="T8" i="27"/>
  <c r="T16" i="27"/>
  <c r="T17" i="27"/>
  <c r="T19" i="27"/>
  <c r="T22" i="27"/>
  <c r="T23" i="27"/>
  <c r="T24" i="27"/>
  <c r="T26" i="27"/>
  <c r="T34" i="27"/>
  <c r="T35" i="27"/>
  <c r="T39" i="27"/>
  <c r="T40" i="27"/>
  <c r="H96" i="20" l="1"/>
  <c r="F109" i="20"/>
  <c r="F107" i="20"/>
  <c r="F105" i="20"/>
  <c r="F100" i="20"/>
  <c r="I100" i="20" s="1"/>
  <c r="F97" i="20"/>
  <c r="H11" i="24"/>
  <c r="J43" i="20"/>
  <c r="J39" i="20"/>
  <c r="J40" i="20" l="1"/>
  <c r="J17" i="20" l="1"/>
  <c r="H32" i="7" l="1"/>
  <c r="B38" i="32" l="1"/>
  <c r="C38" i="32"/>
  <c r="D38" i="32"/>
  <c r="B39" i="32"/>
  <c r="C39" i="32"/>
  <c r="D39" i="32"/>
  <c r="B33" i="32"/>
  <c r="C33" i="32"/>
  <c r="D33" i="32"/>
  <c r="B34" i="32"/>
  <c r="C34" i="32"/>
  <c r="D34" i="32"/>
  <c r="W74" i="7" l="1"/>
  <c r="L74" i="7"/>
  <c r="I74" i="7"/>
  <c r="H74" i="7"/>
  <c r="G74" i="7"/>
  <c r="AE74" i="7" s="1"/>
  <c r="F74" i="7"/>
  <c r="B74" i="7"/>
  <c r="D74" i="7" s="1"/>
  <c r="W73" i="7"/>
  <c r="L73" i="7"/>
  <c r="I73" i="7"/>
  <c r="H73" i="7"/>
  <c r="G73" i="7"/>
  <c r="F73" i="7"/>
  <c r="B73" i="7"/>
  <c r="D73" i="7" s="1"/>
  <c r="W72" i="7"/>
  <c r="L72" i="7"/>
  <c r="J72" i="7"/>
  <c r="H72" i="7"/>
  <c r="G72" i="7"/>
  <c r="F72" i="7"/>
  <c r="B72" i="7"/>
  <c r="D72" i="7" s="1"/>
  <c r="W71" i="7"/>
  <c r="L71" i="7"/>
  <c r="J71" i="7"/>
  <c r="H71" i="7"/>
  <c r="G71" i="7"/>
  <c r="F71" i="7"/>
  <c r="B71" i="7"/>
  <c r="D71" i="7" s="1"/>
  <c r="W70" i="7"/>
  <c r="L70" i="7"/>
  <c r="J70" i="7"/>
  <c r="H70" i="7"/>
  <c r="G70" i="7"/>
  <c r="F70" i="7"/>
  <c r="B70" i="7"/>
  <c r="D70" i="7" s="1"/>
  <c r="W69" i="7"/>
  <c r="L69" i="7"/>
  <c r="J69" i="7"/>
  <c r="H69" i="7"/>
  <c r="G69" i="7"/>
  <c r="AE69" i="7" s="1"/>
  <c r="F69" i="7"/>
  <c r="B69" i="7"/>
  <c r="D69" i="7" s="1"/>
  <c r="W68" i="7"/>
  <c r="L68" i="7"/>
  <c r="J68" i="7"/>
  <c r="H68" i="7"/>
  <c r="G68" i="7"/>
  <c r="AE68" i="7" s="1"/>
  <c r="F68" i="7"/>
  <c r="B68" i="7"/>
  <c r="D68" i="7" s="1"/>
  <c r="W67" i="7"/>
  <c r="L67" i="7"/>
  <c r="J67" i="7"/>
  <c r="H67" i="7"/>
  <c r="G67" i="7"/>
  <c r="F67" i="7"/>
  <c r="B67" i="7"/>
  <c r="D67" i="7" s="1"/>
  <c r="W66" i="7"/>
  <c r="L66" i="7"/>
  <c r="J66" i="7"/>
  <c r="H66" i="7"/>
  <c r="G66" i="7"/>
  <c r="F66" i="7"/>
  <c r="B66" i="7"/>
  <c r="D66" i="7" s="1"/>
  <c r="W65" i="7"/>
  <c r="L65" i="7"/>
  <c r="J65" i="7"/>
  <c r="H65" i="7"/>
  <c r="G65" i="7"/>
  <c r="F65" i="7"/>
  <c r="B65" i="7"/>
  <c r="D65" i="7" s="1"/>
  <c r="W64" i="7"/>
  <c r="L64" i="7"/>
  <c r="J64" i="7"/>
  <c r="H64" i="7"/>
  <c r="G64" i="7"/>
  <c r="F64" i="7"/>
  <c r="B64" i="7"/>
  <c r="D64" i="7" s="1"/>
  <c r="W63" i="7"/>
  <c r="L63" i="7"/>
  <c r="J63" i="7"/>
  <c r="H63" i="7"/>
  <c r="G63" i="7"/>
  <c r="F63" i="7"/>
  <c r="B63" i="7"/>
  <c r="D63" i="7" s="1"/>
  <c r="W62" i="7"/>
  <c r="L62" i="7"/>
  <c r="J62" i="7"/>
  <c r="H62" i="7"/>
  <c r="G62" i="7"/>
  <c r="F62" i="7"/>
  <c r="B62" i="7"/>
  <c r="D62" i="7" s="1"/>
  <c r="W61" i="7"/>
  <c r="L61" i="7"/>
  <c r="J61" i="7"/>
  <c r="H61" i="7"/>
  <c r="G61" i="7"/>
  <c r="F61" i="7"/>
  <c r="B61" i="7"/>
  <c r="D61" i="7" s="1"/>
  <c r="W60" i="7"/>
  <c r="L60" i="7"/>
  <c r="J60" i="7"/>
  <c r="H60" i="7"/>
  <c r="G60" i="7"/>
  <c r="AE60" i="7" s="1"/>
  <c r="F60" i="7"/>
  <c r="B60" i="7"/>
  <c r="D60" i="7" s="1"/>
  <c r="W59" i="7"/>
  <c r="L59" i="7"/>
  <c r="J59" i="7"/>
  <c r="H59" i="7"/>
  <c r="G59" i="7"/>
  <c r="F59" i="7"/>
  <c r="B59" i="7"/>
  <c r="D59" i="7" s="1"/>
  <c r="W58" i="7"/>
  <c r="L58" i="7"/>
  <c r="J58" i="7"/>
  <c r="H58" i="7"/>
  <c r="G58" i="7"/>
  <c r="AE58" i="7" s="1"/>
  <c r="F58" i="7"/>
  <c r="B58" i="7"/>
  <c r="D58" i="7" s="1"/>
  <c r="W57" i="7"/>
  <c r="L57" i="7"/>
  <c r="J57" i="7"/>
  <c r="H57" i="7"/>
  <c r="G57" i="7"/>
  <c r="F57" i="7"/>
  <c r="B57" i="7"/>
  <c r="D57" i="7" s="1"/>
  <c r="W56" i="7"/>
  <c r="L56" i="7"/>
  <c r="J56" i="7"/>
  <c r="H56" i="7"/>
  <c r="G56" i="7"/>
  <c r="F56" i="7"/>
  <c r="B56" i="7"/>
  <c r="D56" i="7" s="1"/>
  <c r="W55" i="7"/>
  <c r="L55" i="7"/>
  <c r="J55" i="7"/>
  <c r="H55" i="7"/>
  <c r="G55" i="7"/>
  <c r="F55" i="7"/>
  <c r="B55" i="7"/>
  <c r="D55" i="7" s="1"/>
  <c r="W54" i="7"/>
  <c r="L54" i="7"/>
  <c r="J54" i="7"/>
  <c r="H54" i="7"/>
  <c r="G54" i="7"/>
  <c r="F54" i="7"/>
  <c r="B54" i="7"/>
  <c r="D54" i="7" s="1"/>
  <c r="W53" i="7"/>
  <c r="L53" i="7"/>
  <c r="J53" i="7"/>
  <c r="H53" i="7"/>
  <c r="G53" i="7"/>
  <c r="AE53" i="7" s="1"/>
  <c r="F53" i="7"/>
  <c r="B53" i="7"/>
  <c r="D53" i="7" s="1"/>
  <c r="W52" i="7"/>
  <c r="L52" i="7"/>
  <c r="J52" i="7"/>
  <c r="H52" i="7"/>
  <c r="G52" i="7"/>
  <c r="F52" i="7"/>
  <c r="B52" i="7"/>
  <c r="D52" i="7" s="1"/>
  <c r="W51" i="7"/>
  <c r="L51" i="7"/>
  <c r="J51" i="7"/>
  <c r="H51" i="7"/>
  <c r="G51" i="7"/>
  <c r="F51" i="7"/>
  <c r="B51" i="7"/>
  <c r="D51" i="7" s="1"/>
  <c r="W50" i="7"/>
  <c r="L50" i="7"/>
  <c r="J50" i="7"/>
  <c r="H50" i="7"/>
  <c r="G50" i="7"/>
  <c r="F50" i="7"/>
  <c r="B50" i="7"/>
  <c r="D50" i="7" s="1"/>
  <c r="W49" i="7"/>
  <c r="L49" i="7"/>
  <c r="J49" i="7"/>
  <c r="H49" i="7"/>
  <c r="G49" i="7"/>
  <c r="F49" i="7"/>
  <c r="B49" i="7"/>
  <c r="D49" i="7" s="1"/>
  <c r="W48" i="7"/>
  <c r="L48" i="7"/>
  <c r="J48" i="7"/>
  <c r="H48" i="7"/>
  <c r="G48" i="7"/>
  <c r="F48" i="7"/>
  <c r="B48" i="7"/>
  <c r="D48" i="7" s="1"/>
  <c r="W47" i="7"/>
  <c r="L47" i="7"/>
  <c r="J47" i="7"/>
  <c r="H47" i="7"/>
  <c r="G47" i="7"/>
  <c r="F47" i="7"/>
  <c r="B47" i="7"/>
  <c r="D47" i="7" s="1"/>
  <c r="W46" i="7"/>
  <c r="L46" i="7"/>
  <c r="J46" i="7"/>
  <c r="H46" i="7"/>
  <c r="G46" i="7"/>
  <c r="F46" i="7"/>
  <c r="B46" i="7"/>
  <c r="D46" i="7" s="1"/>
  <c r="W45" i="7"/>
  <c r="L45" i="7"/>
  <c r="J45" i="7"/>
  <c r="H45" i="7"/>
  <c r="G45" i="7"/>
  <c r="F45" i="7"/>
  <c r="B45" i="7"/>
  <c r="D45" i="7" s="1"/>
  <c r="W44" i="7"/>
  <c r="L44" i="7"/>
  <c r="J44" i="7"/>
  <c r="H44" i="7"/>
  <c r="G44" i="7"/>
  <c r="F44" i="7"/>
  <c r="B44" i="7"/>
  <c r="D44" i="7" s="1"/>
  <c r="W43" i="7"/>
  <c r="L43" i="7"/>
  <c r="J43" i="7"/>
  <c r="H43" i="7"/>
  <c r="G43" i="7"/>
  <c r="F43" i="7"/>
  <c r="B43" i="7"/>
  <c r="D43" i="7" s="1"/>
  <c r="W42" i="7"/>
  <c r="L42" i="7"/>
  <c r="J42" i="7"/>
  <c r="H42" i="7"/>
  <c r="G42" i="7"/>
  <c r="AE42" i="7" s="1"/>
  <c r="F42" i="7"/>
  <c r="B42" i="7"/>
  <c r="D42" i="7" s="1"/>
  <c r="W41" i="7"/>
  <c r="L41" i="7"/>
  <c r="J41" i="7"/>
  <c r="H41" i="7"/>
  <c r="G41" i="7"/>
  <c r="F41" i="7"/>
  <c r="B41" i="7"/>
  <c r="D41" i="7" s="1"/>
  <c r="W40" i="7"/>
  <c r="L40" i="7"/>
  <c r="J40" i="7"/>
  <c r="H40" i="7"/>
  <c r="G40" i="7"/>
  <c r="F40" i="7"/>
  <c r="B40" i="7"/>
  <c r="D40" i="7" s="1"/>
  <c r="W39" i="7"/>
  <c r="L39" i="7"/>
  <c r="J39" i="7"/>
  <c r="H39" i="7"/>
  <c r="G39" i="7"/>
  <c r="F39" i="7"/>
  <c r="B39" i="7"/>
  <c r="D39" i="7" s="1"/>
  <c r="G35" i="28"/>
  <c r="F35" i="28"/>
  <c r="B35" i="28"/>
  <c r="G34" i="28"/>
  <c r="F34" i="28"/>
  <c r="B34" i="28"/>
  <c r="H33" i="24"/>
  <c r="G33" i="24"/>
  <c r="F33" i="24"/>
  <c r="I33" i="24" s="1"/>
  <c r="H32" i="24"/>
  <c r="G32" i="24"/>
  <c r="F32" i="24"/>
  <c r="I32" i="24" s="1"/>
  <c r="B32" i="24"/>
  <c r="B33" i="24"/>
  <c r="W33" i="7"/>
  <c r="L33" i="7"/>
  <c r="J33" i="7"/>
  <c r="H33" i="7"/>
  <c r="G33" i="7"/>
  <c r="AE33" i="7" s="1"/>
  <c r="F33" i="7"/>
  <c r="B33" i="7"/>
  <c r="D33" i="7" s="1"/>
  <c r="W32" i="7"/>
  <c r="L32" i="7"/>
  <c r="J32" i="7"/>
  <c r="G32" i="7"/>
  <c r="AE32" i="7" s="1"/>
  <c r="F32" i="7"/>
  <c r="B32" i="7"/>
  <c r="AE34" i="27"/>
  <c r="AD34" i="27"/>
  <c r="Y34" i="27"/>
  <c r="X34" i="27"/>
  <c r="W34" i="27"/>
  <c r="V34" i="27"/>
  <c r="S34" i="27"/>
  <c r="R34" i="27"/>
  <c r="J34" i="27"/>
  <c r="AE35" i="27"/>
  <c r="AD35" i="27"/>
  <c r="Y35" i="27"/>
  <c r="X35" i="27"/>
  <c r="W35" i="27"/>
  <c r="V35" i="27"/>
  <c r="S35" i="27"/>
  <c r="R35" i="27"/>
  <c r="J35" i="27"/>
  <c r="I34" i="27"/>
  <c r="I35" i="27"/>
  <c r="G34" i="27"/>
  <c r="I32" i="7" s="1"/>
  <c r="G35" i="27"/>
  <c r="I69" i="7" s="1"/>
  <c r="D34" i="27"/>
  <c r="D35" i="27"/>
  <c r="AC35" i="27" l="1"/>
  <c r="AC50" i="7"/>
  <c r="AE50" i="7"/>
  <c r="Z73" i="7"/>
  <c r="AE73" i="7"/>
  <c r="AD51" i="7"/>
  <c r="AE51" i="7"/>
  <c r="Z57" i="7"/>
  <c r="AE57" i="7"/>
  <c r="Z56" i="7"/>
  <c r="AE56" i="7"/>
  <c r="Q33" i="7"/>
  <c r="AC34" i="27"/>
  <c r="Q68" i="7" s="1"/>
  <c r="D32" i="7"/>
  <c r="I68" i="7"/>
  <c r="P68" i="7" s="1"/>
  <c r="AC51" i="7"/>
  <c r="Q69" i="7"/>
  <c r="Z51" i="7"/>
  <c r="AD50" i="7"/>
  <c r="AC56" i="7"/>
  <c r="AD56" i="7"/>
  <c r="Z53" i="7"/>
  <c r="P69" i="7"/>
  <c r="Z69" i="7"/>
  <c r="P51" i="7"/>
  <c r="Z60" i="7"/>
  <c r="Z68" i="7"/>
  <c r="P50" i="7"/>
  <c r="Z42" i="7"/>
  <c r="Z50" i="7"/>
  <c r="Z58" i="7"/>
  <c r="Z74" i="7"/>
  <c r="P56" i="7"/>
  <c r="I33" i="7"/>
  <c r="P33" i="7" s="1"/>
  <c r="Z33" i="7"/>
  <c r="Z32" i="7"/>
  <c r="P32" i="7"/>
  <c r="Q32" i="7" l="1"/>
  <c r="H38" i="24"/>
  <c r="H37" i="24"/>
  <c r="G38" i="24"/>
  <c r="F38" i="24"/>
  <c r="I38" i="24" s="1"/>
  <c r="G37" i="24"/>
  <c r="F37" i="24"/>
  <c r="I37" i="24" s="1"/>
  <c r="B38" i="24"/>
  <c r="B37" i="24"/>
  <c r="G40" i="28"/>
  <c r="F40" i="28"/>
  <c r="G39" i="28"/>
  <c r="F39" i="28"/>
  <c r="B40" i="28"/>
  <c r="B39" i="28"/>
  <c r="W38" i="7"/>
  <c r="L38" i="7"/>
  <c r="I38" i="7"/>
  <c r="H38" i="7"/>
  <c r="G38" i="7"/>
  <c r="AE38" i="7" s="1"/>
  <c r="F38" i="7"/>
  <c r="B38" i="7"/>
  <c r="D38" i="7" s="1"/>
  <c r="W37" i="7"/>
  <c r="L37" i="7"/>
  <c r="I37" i="7"/>
  <c r="H37" i="7"/>
  <c r="G37" i="7"/>
  <c r="AE37" i="7" s="1"/>
  <c r="F37" i="7"/>
  <c r="B37" i="7"/>
  <c r="D37" i="7" s="1"/>
  <c r="AE39" i="27"/>
  <c r="AE40" i="27"/>
  <c r="AD39" i="27"/>
  <c r="AD40" i="27"/>
  <c r="Y39" i="27"/>
  <c r="X39" i="27"/>
  <c r="W39" i="27"/>
  <c r="V39" i="27"/>
  <c r="S39" i="27"/>
  <c r="R39" i="27"/>
  <c r="Y40" i="27"/>
  <c r="X40" i="27"/>
  <c r="W40" i="27"/>
  <c r="V40" i="27"/>
  <c r="S40" i="27"/>
  <c r="R40" i="27"/>
  <c r="J39" i="27"/>
  <c r="AC39" i="27" s="1"/>
  <c r="J40" i="27"/>
  <c r="AC40" i="27" s="1"/>
  <c r="I39" i="27"/>
  <c r="I40" i="27"/>
  <c r="H39" i="27"/>
  <c r="H40" i="27"/>
  <c r="D39" i="27"/>
  <c r="D40" i="27"/>
  <c r="Q74" i="7" l="1"/>
  <c r="J74" i="7"/>
  <c r="J73" i="7"/>
  <c r="Q73" i="7"/>
  <c r="P74" i="7"/>
  <c r="P73" i="7"/>
  <c r="O39" i="27"/>
  <c r="Q37" i="7"/>
  <c r="J38" i="7"/>
  <c r="O40" i="27"/>
  <c r="P40" i="27" s="1"/>
  <c r="J37" i="7"/>
  <c r="P38" i="7"/>
  <c r="Q38" i="7"/>
  <c r="P37" i="7"/>
  <c r="Z38" i="7"/>
  <c r="Z37" i="7"/>
  <c r="P39" i="27" l="1"/>
  <c r="M38" i="7" s="1"/>
  <c r="G22" i="27"/>
  <c r="I56" i="7" s="1"/>
  <c r="G17" i="27"/>
  <c r="I51" i="7" s="1"/>
  <c r="G16" i="27"/>
  <c r="I50" i="7" s="1"/>
  <c r="G8" i="27"/>
  <c r="I42" i="7" s="1"/>
  <c r="G26" i="27"/>
  <c r="I60" i="7" s="1"/>
  <c r="M37" i="7" l="1"/>
  <c r="M73" i="7"/>
  <c r="M74" i="7"/>
  <c r="G104" i="20"/>
  <c r="T74" i="7" l="1"/>
  <c r="T69" i="7"/>
  <c r="T64" i="7"/>
  <c r="T59" i="7"/>
  <c r="T54" i="7"/>
  <c r="T49" i="7"/>
  <c r="T44" i="7"/>
  <c r="T39" i="7"/>
  <c r="T51" i="7"/>
  <c r="T41" i="7"/>
  <c r="T56" i="7"/>
  <c r="T68" i="7"/>
  <c r="T58" i="7"/>
  <c r="T53" i="7"/>
  <c r="T48" i="7"/>
  <c r="T40" i="7"/>
  <c r="T71" i="7"/>
  <c r="T61" i="7"/>
  <c r="T46" i="7"/>
  <c r="T73" i="7"/>
  <c r="T63" i="7"/>
  <c r="T43" i="7"/>
  <c r="T60" i="7"/>
  <c r="T50" i="7"/>
  <c r="T45" i="7"/>
  <c r="T72" i="7"/>
  <c r="T62" i="7"/>
  <c r="T47" i="7"/>
  <c r="T42" i="7"/>
  <c r="T66" i="7"/>
  <c r="T57" i="7"/>
  <c r="T70" i="7"/>
  <c r="T65" i="7"/>
  <c r="T55" i="7"/>
  <c r="T67" i="7"/>
  <c r="T52" i="7"/>
  <c r="C5" i="32"/>
  <c r="D5" i="32"/>
  <c r="C6" i="32"/>
  <c r="D6" i="32"/>
  <c r="C7" i="32"/>
  <c r="D7" i="32"/>
  <c r="C8" i="32"/>
  <c r="D8" i="32"/>
  <c r="C9" i="32"/>
  <c r="D9" i="32"/>
  <c r="C10" i="32"/>
  <c r="D10" i="32"/>
  <c r="C11" i="32"/>
  <c r="D11" i="32"/>
  <c r="C12" i="32"/>
  <c r="D12" i="32"/>
  <c r="C13" i="32"/>
  <c r="D13" i="32"/>
  <c r="C14" i="32"/>
  <c r="D14" i="32"/>
  <c r="C15" i="32"/>
  <c r="D15" i="32"/>
  <c r="C16" i="32"/>
  <c r="D16" i="32"/>
  <c r="C17" i="32"/>
  <c r="D17" i="32"/>
  <c r="C18" i="32"/>
  <c r="D18" i="32"/>
  <c r="C19" i="32"/>
  <c r="D19" i="32"/>
  <c r="C20" i="32"/>
  <c r="D20" i="32"/>
  <c r="C21" i="32"/>
  <c r="D21" i="32"/>
  <c r="C22" i="32"/>
  <c r="D22" i="32"/>
  <c r="C23" i="32"/>
  <c r="D23" i="32"/>
  <c r="C24" i="32"/>
  <c r="D24" i="32"/>
  <c r="C25" i="32"/>
  <c r="D25" i="32"/>
  <c r="C26" i="32"/>
  <c r="D26" i="32"/>
  <c r="C27" i="32"/>
  <c r="D27" i="32"/>
  <c r="C28" i="32"/>
  <c r="D28" i="32"/>
  <c r="C29" i="32"/>
  <c r="D29" i="32"/>
  <c r="C30" i="32"/>
  <c r="D30" i="32"/>
  <c r="C31" i="32"/>
  <c r="D31" i="32"/>
  <c r="C32" i="32"/>
  <c r="D32" i="32"/>
  <c r="C35" i="32"/>
  <c r="D35" i="32"/>
  <c r="C36" i="32"/>
  <c r="D36" i="32"/>
  <c r="C37" i="32"/>
  <c r="D37" i="32"/>
  <c r="D4" i="32"/>
  <c r="C4" i="32"/>
  <c r="B5" i="32"/>
  <c r="B6" i="32"/>
  <c r="B7" i="32"/>
  <c r="B8" i="32"/>
  <c r="B9" i="32"/>
  <c r="B10" i="32"/>
  <c r="B11" i="32"/>
  <c r="B12" i="32"/>
  <c r="B13" i="32"/>
  <c r="B14" i="32"/>
  <c r="B15" i="32"/>
  <c r="B16" i="32"/>
  <c r="B17" i="32"/>
  <c r="B18" i="32"/>
  <c r="B19" i="32"/>
  <c r="B20" i="32"/>
  <c r="B21" i="32"/>
  <c r="B22" i="32"/>
  <c r="B23" i="32"/>
  <c r="B24" i="32"/>
  <c r="B25" i="32"/>
  <c r="B26" i="32"/>
  <c r="B27" i="32"/>
  <c r="B28" i="32"/>
  <c r="B29" i="32"/>
  <c r="B30" i="32"/>
  <c r="B31" i="32"/>
  <c r="B32" i="32"/>
  <c r="B35" i="32"/>
  <c r="B36" i="32"/>
  <c r="B37" i="32"/>
  <c r="B4" i="32"/>
  <c r="D283" i="30"/>
  <c r="D2" i="30"/>
  <c r="D3" i="30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F12" i="32" l="1"/>
  <c r="F39" i="32"/>
  <c r="F34" i="32"/>
  <c r="F38" i="32"/>
  <c r="F33" i="32"/>
  <c r="F28" i="32"/>
  <c r="F5" i="32"/>
  <c r="F4" i="32"/>
  <c r="F20" i="32"/>
  <c r="F37" i="32"/>
  <c r="F27" i="32"/>
  <c r="F19" i="32"/>
  <c r="F11" i="32"/>
  <c r="F36" i="32"/>
  <c r="F26" i="32"/>
  <c r="F18" i="32"/>
  <c r="F10" i="32"/>
  <c r="F35" i="32"/>
  <c r="F25" i="32"/>
  <c r="F17" i="32"/>
  <c r="F9" i="32"/>
  <c r="F32" i="32"/>
  <c r="F24" i="32"/>
  <c r="F16" i="32"/>
  <c r="F8" i="32"/>
  <c r="F31" i="32"/>
  <c r="F23" i="32"/>
  <c r="F15" i="32"/>
  <c r="F7" i="32"/>
  <c r="F30" i="32"/>
  <c r="F22" i="32"/>
  <c r="F14" i="32"/>
  <c r="F6" i="32"/>
  <c r="F29" i="32"/>
  <c r="F21" i="32"/>
  <c r="F13" i="32"/>
  <c r="E105" i="26"/>
  <c r="E104" i="26"/>
  <c r="I99" i="20"/>
  <c r="I98" i="20"/>
  <c r="J23" i="20"/>
  <c r="H102" i="20"/>
  <c r="H101" i="20"/>
  <c r="H99" i="20" l="1"/>
  <c r="O35" i="27"/>
  <c r="O34" i="27"/>
  <c r="H104" i="20"/>
  <c r="H3" i="24"/>
  <c r="W3" i="7"/>
  <c r="P35" i="27" l="1"/>
  <c r="P34" i="27"/>
  <c r="H23" i="26"/>
  <c r="H21" i="26"/>
  <c r="H20" i="26"/>
  <c r="B15" i="26"/>
  <c r="G38" i="28"/>
  <c r="F38" i="28"/>
  <c r="B38" i="28"/>
  <c r="G37" i="28"/>
  <c r="F37" i="28"/>
  <c r="B37" i="28"/>
  <c r="G36" i="28"/>
  <c r="F36" i="28"/>
  <c r="B36" i="28"/>
  <c r="G33" i="28"/>
  <c r="F33" i="28"/>
  <c r="B33" i="28"/>
  <c r="G32" i="28"/>
  <c r="F32" i="28"/>
  <c r="B32" i="28"/>
  <c r="G31" i="28"/>
  <c r="F31" i="28"/>
  <c r="B31" i="28"/>
  <c r="G30" i="28"/>
  <c r="F30" i="28"/>
  <c r="B30" i="28"/>
  <c r="G29" i="28"/>
  <c r="F29" i="28"/>
  <c r="B29" i="28"/>
  <c r="G28" i="28"/>
  <c r="F28" i="28"/>
  <c r="B28" i="28"/>
  <c r="G27" i="28"/>
  <c r="F27" i="28"/>
  <c r="B27" i="28"/>
  <c r="G26" i="28"/>
  <c r="F26" i="28"/>
  <c r="B26" i="28"/>
  <c r="G25" i="28"/>
  <c r="F25" i="28"/>
  <c r="B25" i="28"/>
  <c r="G24" i="28"/>
  <c r="F24" i="28"/>
  <c r="B24" i="28"/>
  <c r="G23" i="28"/>
  <c r="F23" i="28"/>
  <c r="B23" i="28"/>
  <c r="G22" i="28"/>
  <c r="F22" i="28"/>
  <c r="B22" i="28"/>
  <c r="G21" i="28"/>
  <c r="F21" i="28"/>
  <c r="B21" i="28"/>
  <c r="G20" i="28"/>
  <c r="F20" i="28"/>
  <c r="B20" i="28"/>
  <c r="G19" i="28"/>
  <c r="F19" i="28"/>
  <c r="B19" i="28"/>
  <c r="G18" i="28"/>
  <c r="F18" i="28"/>
  <c r="B18" i="28"/>
  <c r="G17" i="28"/>
  <c r="F17" i="28"/>
  <c r="B17" i="28"/>
  <c r="G16" i="28"/>
  <c r="F16" i="28"/>
  <c r="B16" i="28"/>
  <c r="G15" i="28"/>
  <c r="F15" i="28"/>
  <c r="B15" i="28"/>
  <c r="G14" i="28"/>
  <c r="F14" i="28"/>
  <c r="B14" i="28"/>
  <c r="G13" i="28"/>
  <c r="F13" i="28"/>
  <c r="B13" i="28"/>
  <c r="G12" i="28"/>
  <c r="F12" i="28"/>
  <c r="B12" i="28"/>
  <c r="G11" i="28"/>
  <c r="F11" i="28"/>
  <c r="B11" i="28"/>
  <c r="G10" i="28"/>
  <c r="F10" i="28"/>
  <c r="B10" i="28"/>
  <c r="G9" i="28"/>
  <c r="F9" i="28"/>
  <c r="B9" i="28"/>
  <c r="G8" i="28"/>
  <c r="F8" i="28"/>
  <c r="B8" i="28"/>
  <c r="G7" i="28"/>
  <c r="F7" i="28"/>
  <c r="B7" i="28"/>
  <c r="G6" i="28"/>
  <c r="F6" i="28"/>
  <c r="B6" i="28"/>
  <c r="G5" i="28"/>
  <c r="F5" i="28"/>
  <c r="B5" i="28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4" i="7"/>
  <c r="W35" i="7"/>
  <c r="W36" i="7"/>
  <c r="G4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4" i="24"/>
  <c r="G35" i="24"/>
  <c r="G36" i="24"/>
  <c r="G3" i="24"/>
  <c r="F4" i="24"/>
  <c r="F5" i="24"/>
  <c r="F6" i="24"/>
  <c r="I6" i="24" s="1"/>
  <c r="F7" i="24"/>
  <c r="F8" i="24"/>
  <c r="F9" i="24"/>
  <c r="F10" i="24"/>
  <c r="F11" i="24"/>
  <c r="F12" i="24"/>
  <c r="F13" i="24"/>
  <c r="F14" i="24"/>
  <c r="I14" i="24" s="1"/>
  <c r="F15" i="24"/>
  <c r="I15" i="24" s="1"/>
  <c r="F16" i="24"/>
  <c r="F17" i="24"/>
  <c r="I17" i="24" s="1"/>
  <c r="F18" i="24"/>
  <c r="F19" i="24"/>
  <c r="F20" i="24"/>
  <c r="I20" i="24" s="1"/>
  <c r="F21" i="24"/>
  <c r="I21" i="24" s="1"/>
  <c r="F22" i="24"/>
  <c r="I22" i="24" s="1"/>
  <c r="F23" i="24"/>
  <c r="F24" i="24"/>
  <c r="I24" i="24" s="1"/>
  <c r="F25" i="24"/>
  <c r="F26" i="24"/>
  <c r="F27" i="24"/>
  <c r="F28" i="24"/>
  <c r="F29" i="24"/>
  <c r="F30" i="24"/>
  <c r="F31" i="24"/>
  <c r="F34" i="24"/>
  <c r="F35" i="24"/>
  <c r="F36" i="24"/>
  <c r="F3" i="24"/>
  <c r="H36" i="24"/>
  <c r="H35" i="24"/>
  <c r="H34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0" i="24"/>
  <c r="H9" i="24"/>
  <c r="H8" i="24"/>
  <c r="H7" i="24"/>
  <c r="H6" i="24"/>
  <c r="H5" i="24"/>
  <c r="H4" i="24"/>
  <c r="B4" i="24"/>
  <c r="B5" i="24"/>
  <c r="B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4" i="24"/>
  <c r="B35" i="24"/>
  <c r="B36" i="24"/>
  <c r="B3" i="24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6" i="27"/>
  <c r="O37" i="27"/>
  <c r="O38" i="27"/>
  <c r="O6" i="27"/>
  <c r="O7" i="27"/>
  <c r="O5" i="27"/>
  <c r="H24" i="26" l="1"/>
  <c r="M32" i="7"/>
  <c r="M68" i="7"/>
  <c r="M33" i="7"/>
  <c r="M69" i="7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4" i="7"/>
  <c r="L35" i="7"/>
  <c r="L36" i="7"/>
  <c r="L3" i="7"/>
  <c r="AE6" i="27"/>
  <c r="AE7" i="27"/>
  <c r="AE8" i="27"/>
  <c r="AE9" i="27"/>
  <c r="AE10" i="27"/>
  <c r="AE11" i="27"/>
  <c r="AE12" i="27"/>
  <c r="AE13" i="27"/>
  <c r="AE14" i="27"/>
  <c r="AE15" i="27"/>
  <c r="AE16" i="27"/>
  <c r="AE17" i="27"/>
  <c r="AE18" i="27"/>
  <c r="AE19" i="27"/>
  <c r="AE20" i="27"/>
  <c r="AE21" i="27"/>
  <c r="AE22" i="27"/>
  <c r="AE23" i="27"/>
  <c r="AE24" i="27"/>
  <c r="AE25" i="27"/>
  <c r="AE26" i="27"/>
  <c r="AE27" i="27"/>
  <c r="AE28" i="27"/>
  <c r="AE29" i="27"/>
  <c r="AE30" i="27"/>
  <c r="AE31" i="27"/>
  <c r="AE32" i="27"/>
  <c r="AE33" i="27"/>
  <c r="AE36" i="27"/>
  <c r="AE37" i="27"/>
  <c r="AE38" i="27"/>
  <c r="AE5" i="27"/>
  <c r="I23" i="27"/>
  <c r="I24" i="27"/>
  <c r="I25" i="27"/>
  <c r="I26" i="27"/>
  <c r="I27" i="27"/>
  <c r="I28" i="27"/>
  <c r="I29" i="27"/>
  <c r="I30" i="27"/>
  <c r="I31" i="27"/>
  <c r="I32" i="27"/>
  <c r="I33" i="27"/>
  <c r="I36" i="27"/>
  <c r="I37" i="27"/>
  <c r="I38" i="27"/>
  <c r="I22" i="27"/>
  <c r="I18" i="27"/>
  <c r="I19" i="27"/>
  <c r="I20" i="27"/>
  <c r="I21" i="27"/>
  <c r="I16" i="27"/>
  <c r="I17" i="27"/>
  <c r="I6" i="27"/>
  <c r="I7" i="27"/>
  <c r="I8" i="27"/>
  <c r="I9" i="27"/>
  <c r="I10" i="27"/>
  <c r="I11" i="27"/>
  <c r="I12" i="27"/>
  <c r="I13" i="27"/>
  <c r="I14" i="27"/>
  <c r="I15" i="27"/>
  <c r="I5" i="27"/>
  <c r="AD6" i="27"/>
  <c r="AD7" i="27"/>
  <c r="AD8" i="27"/>
  <c r="AD9" i="27"/>
  <c r="AD10" i="27"/>
  <c r="AD11" i="27"/>
  <c r="AD12" i="27"/>
  <c r="AD13" i="27"/>
  <c r="AD14" i="27"/>
  <c r="AD15" i="27"/>
  <c r="AD16" i="27"/>
  <c r="Q50" i="7" s="1"/>
  <c r="AD17" i="27"/>
  <c r="Q51" i="7" s="1"/>
  <c r="AD18" i="27"/>
  <c r="AD19" i="27"/>
  <c r="AD20" i="27"/>
  <c r="AD21" i="27"/>
  <c r="AD22" i="27"/>
  <c r="Q56" i="7" s="1"/>
  <c r="AD23" i="27"/>
  <c r="AD24" i="27"/>
  <c r="AD25" i="27"/>
  <c r="AD26" i="27"/>
  <c r="AD27" i="27"/>
  <c r="AD28" i="27"/>
  <c r="AD29" i="27"/>
  <c r="AD30" i="27"/>
  <c r="AD31" i="27"/>
  <c r="AD32" i="27"/>
  <c r="AD33" i="27"/>
  <c r="AD36" i="27"/>
  <c r="AD37" i="27"/>
  <c r="AD38" i="27"/>
  <c r="AD5" i="27"/>
  <c r="Y8" i="27"/>
  <c r="Y16" i="27"/>
  <c r="Y17" i="27"/>
  <c r="Y19" i="27"/>
  <c r="Y22" i="27"/>
  <c r="Y23" i="27"/>
  <c r="Y24" i="27"/>
  <c r="Y26" i="27"/>
  <c r="S8" i="27"/>
  <c r="V8" i="27"/>
  <c r="W8" i="27"/>
  <c r="X8" i="27"/>
  <c r="S16" i="27"/>
  <c r="V16" i="27"/>
  <c r="W16" i="27"/>
  <c r="X16" i="27"/>
  <c r="S17" i="27"/>
  <c r="V17" i="27"/>
  <c r="W17" i="27"/>
  <c r="X17" i="27"/>
  <c r="S19" i="27"/>
  <c r="V19" i="27"/>
  <c r="W19" i="27"/>
  <c r="X19" i="27"/>
  <c r="S22" i="27"/>
  <c r="V22" i="27"/>
  <c r="W22" i="27"/>
  <c r="X22" i="27"/>
  <c r="S23" i="27"/>
  <c r="V23" i="27"/>
  <c r="W23" i="27"/>
  <c r="X23" i="27"/>
  <c r="S24" i="27"/>
  <c r="V24" i="27"/>
  <c r="W24" i="27"/>
  <c r="X24" i="27"/>
  <c r="S26" i="27"/>
  <c r="V26" i="27"/>
  <c r="W26" i="27"/>
  <c r="X26" i="27"/>
  <c r="R8" i="27"/>
  <c r="R16" i="27"/>
  <c r="R17" i="27"/>
  <c r="R19" i="27"/>
  <c r="R22" i="27"/>
  <c r="R23" i="27"/>
  <c r="R24" i="27"/>
  <c r="R26" i="27"/>
  <c r="P16" i="27"/>
  <c r="M50" i="7" s="1"/>
  <c r="P17" i="27"/>
  <c r="M51" i="7" s="1"/>
  <c r="P22" i="27"/>
  <c r="M56" i="7" s="1"/>
  <c r="J6" i="27"/>
  <c r="J7" i="27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6" i="27"/>
  <c r="J37" i="27"/>
  <c r="J38" i="27"/>
  <c r="J5" i="27"/>
  <c r="P26" i="27"/>
  <c r="M60" i="7" s="1"/>
  <c r="P24" i="27"/>
  <c r="M58" i="7" s="1"/>
  <c r="P23" i="27"/>
  <c r="M57" i="7" s="1"/>
  <c r="P19" i="27"/>
  <c r="M53" i="7" s="1"/>
  <c r="P8" i="27"/>
  <c r="M42" i="7" s="1"/>
  <c r="P60" i="7" l="1"/>
  <c r="AC26" i="27"/>
  <c r="P42" i="7"/>
  <c r="AC8" i="27"/>
  <c r="Q6" i="7" s="1"/>
  <c r="Q60" i="7"/>
  <c r="E96" i="26"/>
  <c r="AB16" i="27"/>
  <c r="O50" i="7" s="1"/>
  <c r="AB17" i="27"/>
  <c r="O51" i="7" s="1"/>
  <c r="AB22" i="27"/>
  <c r="O56" i="7" s="1"/>
  <c r="Q14" i="7"/>
  <c r="Q15" i="7"/>
  <c r="Q24" i="7"/>
  <c r="Q20" i="7"/>
  <c r="M6" i="7"/>
  <c r="M22" i="7"/>
  <c r="P27" i="27"/>
  <c r="M61" i="7" s="1"/>
  <c r="M14" i="7"/>
  <c r="P32" i="27"/>
  <c r="M66" i="7" s="1"/>
  <c r="P20" i="27"/>
  <c r="M54" i="7" s="1"/>
  <c r="P30" i="27"/>
  <c r="M64" i="7" s="1"/>
  <c r="P6" i="27"/>
  <c r="M40" i="7" s="1"/>
  <c r="M21" i="7"/>
  <c r="P25" i="27"/>
  <c r="M59" i="7" s="1"/>
  <c r="P21" i="27"/>
  <c r="M55" i="7" s="1"/>
  <c r="P9" i="27"/>
  <c r="M43" i="7" s="1"/>
  <c r="M20" i="7"/>
  <c r="P5" i="27"/>
  <c r="M39" i="7" s="1"/>
  <c r="H19" i="26"/>
  <c r="M17" i="7"/>
  <c r="M24" i="7"/>
  <c r="M15" i="7"/>
  <c r="J97" i="20"/>
  <c r="N38" i="27" s="1"/>
  <c r="P38" i="27" s="1"/>
  <c r="M72" i="7" s="1"/>
  <c r="M29" i="27"/>
  <c r="M28" i="27"/>
  <c r="P28" i="27" s="1"/>
  <c r="M62" i="7" s="1"/>
  <c r="M36" i="27"/>
  <c r="N36" i="27"/>
  <c r="M15" i="27"/>
  <c r="P15" i="27" s="1"/>
  <c r="M49" i="7" s="1"/>
  <c r="I106" i="20"/>
  <c r="M14" i="27" s="1"/>
  <c r="P14" i="27" s="1"/>
  <c r="M48" i="7" s="1"/>
  <c r="L13" i="27"/>
  <c r="L33" i="27"/>
  <c r="P33" i="27" s="1"/>
  <c r="M67" i="7" s="1"/>
  <c r="L31" i="27"/>
  <c r="P31" i="27" s="1"/>
  <c r="M65" i="7" s="1"/>
  <c r="L36" i="27"/>
  <c r="J96" i="20"/>
  <c r="N37" i="27" s="1"/>
  <c r="P37" i="27" s="1"/>
  <c r="M71" i="7" s="1"/>
  <c r="Q42" i="7" l="1"/>
  <c r="P29" i="27"/>
  <c r="M63" i="7" s="1"/>
  <c r="Z63" i="7" s="1"/>
  <c r="H22" i="26"/>
  <c r="Z66" i="7"/>
  <c r="Z72" i="7"/>
  <c r="Z48" i="7"/>
  <c r="Z61" i="7"/>
  <c r="Z62" i="7"/>
  <c r="Z39" i="7"/>
  <c r="Z54" i="7"/>
  <c r="Z43" i="7"/>
  <c r="Z55" i="7"/>
  <c r="Z59" i="7"/>
  <c r="Z65" i="7"/>
  <c r="Z49" i="7"/>
  <c r="Z71" i="7"/>
  <c r="Z67" i="7"/>
  <c r="Z40" i="7"/>
  <c r="Z64" i="7"/>
  <c r="M4" i="7"/>
  <c r="M23" i="7"/>
  <c r="M7" i="7"/>
  <c r="M18" i="7"/>
  <c r="M28" i="7"/>
  <c r="M25" i="7"/>
  <c r="M30" i="7"/>
  <c r="M19" i="7"/>
  <c r="M3" i="7"/>
  <c r="E81" i="26"/>
  <c r="M29" i="7"/>
  <c r="M13" i="7"/>
  <c r="M35" i="7"/>
  <c r="M31" i="7"/>
  <c r="M26" i="7"/>
  <c r="M27" i="7"/>
  <c r="M12" i="7"/>
  <c r="M36" i="7"/>
  <c r="P36" i="27"/>
  <c r="M70" i="7" s="1"/>
  <c r="M18" i="27"/>
  <c r="P18" i="27" s="1"/>
  <c r="M52" i="7" s="1"/>
  <c r="L10" i="27"/>
  <c r="P10" i="27" s="1"/>
  <c r="M44" i="7" s="1"/>
  <c r="G105" i="20"/>
  <c r="K12" i="27" s="1"/>
  <c r="P12" i="27" s="1"/>
  <c r="M46" i="7" s="1"/>
  <c r="Z52" i="7" l="1"/>
  <c r="Z44" i="7"/>
  <c r="Z70" i="7"/>
  <c r="Z46" i="7"/>
  <c r="M8" i="7"/>
  <c r="M16" i="7"/>
  <c r="M10" i="7"/>
  <c r="M34" i="7"/>
  <c r="L7" i="27"/>
  <c r="P7" i="27" s="1"/>
  <c r="M41" i="7" s="1"/>
  <c r="G6" i="27"/>
  <c r="G7" i="27"/>
  <c r="G9" i="27"/>
  <c r="G10" i="27"/>
  <c r="G11" i="27"/>
  <c r="G12" i="27"/>
  <c r="G13" i="27"/>
  <c r="G14" i="27"/>
  <c r="G15" i="27"/>
  <c r="G18" i="27"/>
  <c r="G19" i="27"/>
  <c r="G20" i="27"/>
  <c r="G21" i="27"/>
  <c r="G23" i="27"/>
  <c r="G24" i="27"/>
  <c r="G25" i="27"/>
  <c r="G27" i="27"/>
  <c r="G28" i="27"/>
  <c r="G29" i="27"/>
  <c r="G30" i="27"/>
  <c r="G31" i="27"/>
  <c r="G32" i="27"/>
  <c r="G33" i="27"/>
  <c r="G36" i="27"/>
  <c r="G37" i="27"/>
  <c r="G38" i="27"/>
  <c r="G5" i="27"/>
  <c r="AC5" i="27" s="1"/>
  <c r="Q39" i="7" l="1"/>
  <c r="Q3" i="7"/>
  <c r="I44" i="7"/>
  <c r="P44" i="7" s="1"/>
  <c r="AC10" i="27"/>
  <c r="I40" i="7"/>
  <c r="P40" i="7" s="1"/>
  <c r="AC6" i="27"/>
  <c r="I52" i="7"/>
  <c r="P52" i="7" s="1"/>
  <c r="AC18" i="27"/>
  <c r="I48" i="7"/>
  <c r="P48" i="7" s="1"/>
  <c r="AC14" i="27"/>
  <c r="I72" i="7"/>
  <c r="P72" i="7" s="1"/>
  <c r="AC38" i="27"/>
  <c r="I71" i="7"/>
  <c r="P71" i="7" s="1"/>
  <c r="AC37" i="27"/>
  <c r="I70" i="7"/>
  <c r="P70" i="7" s="1"/>
  <c r="AC36" i="27"/>
  <c r="I65" i="7"/>
  <c r="P65" i="7" s="1"/>
  <c r="AC31" i="27"/>
  <c r="I53" i="7"/>
  <c r="P53" i="7" s="1"/>
  <c r="AC19" i="27"/>
  <c r="I49" i="7"/>
  <c r="P49" i="7" s="1"/>
  <c r="AC15" i="27"/>
  <c r="I47" i="7"/>
  <c r="P47" i="7" s="1"/>
  <c r="AC13" i="27"/>
  <c r="I46" i="7"/>
  <c r="P46" i="7" s="1"/>
  <c r="AC12" i="27"/>
  <c r="I45" i="7"/>
  <c r="P45" i="7" s="1"/>
  <c r="AC11" i="27"/>
  <c r="I67" i="7"/>
  <c r="P67" i="7" s="1"/>
  <c r="AC33" i="27"/>
  <c r="I43" i="7"/>
  <c r="P43" i="7" s="1"/>
  <c r="AC9" i="27"/>
  <c r="I66" i="7"/>
  <c r="P66" i="7" s="1"/>
  <c r="AC32" i="27"/>
  <c r="I41" i="7"/>
  <c r="P41" i="7" s="1"/>
  <c r="AC7" i="27"/>
  <c r="I64" i="7"/>
  <c r="P64" i="7" s="1"/>
  <c r="AC30" i="27"/>
  <c r="I63" i="7"/>
  <c r="P63" i="7" s="1"/>
  <c r="AC29" i="27"/>
  <c r="I62" i="7"/>
  <c r="P62" i="7" s="1"/>
  <c r="AC28" i="27"/>
  <c r="I61" i="7"/>
  <c r="P61" i="7" s="1"/>
  <c r="AC27" i="27"/>
  <c r="I58" i="7"/>
  <c r="P58" i="7" s="1"/>
  <c r="AC24" i="27"/>
  <c r="I59" i="7"/>
  <c r="P59" i="7" s="1"/>
  <c r="AC25" i="27"/>
  <c r="I57" i="7"/>
  <c r="P57" i="7" s="1"/>
  <c r="AC23" i="27"/>
  <c r="I55" i="7"/>
  <c r="P55" i="7" s="1"/>
  <c r="AC21" i="27"/>
  <c r="I54" i="7"/>
  <c r="P54" i="7" s="1"/>
  <c r="AC20" i="27"/>
  <c r="I39" i="7"/>
  <c r="P39" i="7" s="1"/>
  <c r="Z41" i="7"/>
  <c r="C9" i="26"/>
  <c r="C80" i="26" s="1"/>
  <c r="M5" i="7"/>
  <c r="K11" i="27"/>
  <c r="P11" i="27" s="1"/>
  <c r="M45" i="7" s="1"/>
  <c r="K13" i="27"/>
  <c r="P13" i="27" s="1"/>
  <c r="M47" i="7" s="1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4" i="7"/>
  <c r="J35" i="7"/>
  <c r="J36" i="7"/>
  <c r="J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4" i="7"/>
  <c r="I35" i="7"/>
  <c r="I36" i="7"/>
  <c r="I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4" i="7"/>
  <c r="H35" i="7"/>
  <c r="H36" i="7"/>
  <c r="H3" i="7"/>
  <c r="G4" i="7"/>
  <c r="G5" i="7"/>
  <c r="G6" i="7"/>
  <c r="AE6" i="7" s="1"/>
  <c r="G7" i="7"/>
  <c r="G8" i="7"/>
  <c r="G9" i="7"/>
  <c r="G10" i="7"/>
  <c r="G11" i="7"/>
  <c r="G12" i="7"/>
  <c r="G13" i="7"/>
  <c r="G14" i="7"/>
  <c r="G15" i="7"/>
  <c r="AE15" i="7" s="1"/>
  <c r="G16" i="7"/>
  <c r="G17" i="7"/>
  <c r="AE17" i="7" s="1"/>
  <c r="G18" i="7"/>
  <c r="G19" i="7"/>
  <c r="G20" i="7"/>
  <c r="AE20" i="7" s="1"/>
  <c r="G21" i="7"/>
  <c r="AE21" i="7" s="1"/>
  <c r="G22" i="7"/>
  <c r="AE22" i="7" s="1"/>
  <c r="G23" i="7"/>
  <c r="G24" i="7"/>
  <c r="AE24" i="7" s="1"/>
  <c r="G25" i="7"/>
  <c r="G26" i="7"/>
  <c r="G27" i="7"/>
  <c r="G28" i="7"/>
  <c r="G29" i="7"/>
  <c r="G30" i="7"/>
  <c r="G31" i="7"/>
  <c r="G34" i="7"/>
  <c r="G35" i="7"/>
  <c r="G36" i="7"/>
  <c r="G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4" i="7"/>
  <c r="F35" i="7"/>
  <c r="F36" i="7"/>
  <c r="F3" i="7"/>
  <c r="D26" i="27"/>
  <c r="D24" i="27"/>
  <c r="D23" i="27"/>
  <c r="D22" i="27"/>
  <c r="D19" i="27"/>
  <c r="D17" i="27"/>
  <c r="D16" i="27"/>
  <c r="D8" i="27"/>
  <c r="D6" i="27"/>
  <c r="D7" i="27"/>
  <c r="D18" i="27"/>
  <c r="D25" i="27"/>
  <c r="D5" i="27"/>
  <c r="P14" i="7" l="1"/>
  <c r="AE14" i="7"/>
  <c r="P27" i="7"/>
  <c r="P7" i="7"/>
  <c r="Q43" i="7"/>
  <c r="Q7" i="7"/>
  <c r="Q12" i="7"/>
  <c r="Q48" i="7"/>
  <c r="Q27" i="7"/>
  <c r="Q63" i="7"/>
  <c r="Q65" i="7"/>
  <c r="Q29" i="7"/>
  <c r="Q71" i="7"/>
  <c r="Q35" i="7"/>
  <c r="Q53" i="7"/>
  <c r="Q17" i="7"/>
  <c r="Q70" i="7"/>
  <c r="Q34" i="7"/>
  <c r="Q59" i="7"/>
  <c r="Q23" i="7"/>
  <c r="Q45" i="7"/>
  <c r="Q9" i="7"/>
  <c r="Q16" i="7"/>
  <c r="Q52" i="7"/>
  <c r="Q31" i="7"/>
  <c r="Q67" i="7"/>
  <c r="Q22" i="7"/>
  <c r="Q58" i="7"/>
  <c r="Q46" i="7"/>
  <c r="Q10" i="7"/>
  <c r="Q4" i="7"/>
  <c r="F91" i="26"/>
  <c r="Q40" i="7"/>
  <c r="Q5" i="7"/>
  <c r="Q41" i="7"/>
  <c r="Q18" i="7"/>
  <c r="Q54" i="7"/>
  <c r="Q57" i="7"/>
  <c r="Q21" i="7"/>
  <c r="Q61" i="7"/>
  <c r="Q25" i="7"/>
  <c r="Q47" i="7"/>
  <c r="Q11" i="7"/>
  <c r="Q8" i="7"/>
  <c r="Q44" i="7"/>
  <c r="Q28" i="7"/>
  <c r="Q64" i="7"/>
  <c r="Q55" i="7"/>
  <c r="Q19" i="7"/>
  <c r="Q62" i="7"/>
  <c r="Q26" i="7"/>
  <c r="Q49" i="7"/>
  <c r="Q13" i="7"/>
  <c r="Q66" i="7"/>
  <c r="Q30" i="7"/>
  <c r="Q36" i="7"/>
  <c r="Q72" i="7"/>
  <c r="P28" i="7"/>
  <c r="P8" i="7"/>
  <c r="P26" i="7"/>
  <c r="P29" i="7"/>
  <c r="P31" i="7"/>
  <c r="P11" i="7"/>
  <c r="P30" i="7"/>
  <c r="P10" i="7"/>
  <c r="P9" i="7"/>
  <c r="P23" i="7"/>
  <c r="P19" i="7"/>
  <c r="P18" i="7"/>
  <c r="P25" i="7"/>
  <c r="P16" i="7"/>
  <c r="P5" i="7"/>
  <c r="P4" i="7"/>
  <c r="Z47" i="7"/>
  <c r="Z45" i="7"/>
  <c r="P3" i="7"/>
  <c r="P35" i="7"/>
  <c r="P13" i="7"/>
  <c r="P36" i="7"/>
  <c r="P34" i="7"/>
  <c r="P12" i="7"/>
  <c r="P24" i="7"/>
  <c r="P22" i="7"/>
  <c r="P6" i="7"/>
  <c r="P21" i="7"/>
  <c r="P17" i="7"/>
  <c r="AD20" i="7"/>
  <c r="P20" i="7"/>
  <c r="AD15" i="7"/>
  <c r="P15" i="7"/>
  <c r="F81" i="26"/>
  <c r="F80" i="26"/>
  <c r="AD14" i="7"/>
  <c r="AC14" i="7"/>
  <c r="Z26" i="7"/>
  <c r="I28" i="28" s="1"/>
  <c r="Z14" i="7"/>
  <c r="Z35" i="7"/>
  <c r="I37" i="28" s="1"/>
  <c r="Z29" i="7"/>
  <c r="I31" i="28" s="1"/>
  <c r="Z25" i="7"/>
  <c r="I27" i="28" s="1"/>
  <c r="Z21" i="7"/>
  <c r="Z17" i="7"/>
  <c r="Z13" i="7"/>
  <c r="I15" i="28" s="1"/>
  <c r="Z30" i="7"/>
  <c r="I32" i="28" s="1"/>
  <c r="Z18" i="7"/>
  <c r="I20" i="28" s="1"/>
  <c r="Z6" i="7"/>
  <c r="Z34" i="7"/>
  <c r="I36" i="28" s="1"/>
  <c r="Z28" i="7"/>
  <c r="I30" i="28" s="1"/>
  <c r="Z24" i="7"/>
  <c r="Z20" i="7"/>
  <c r="Z16" i="7"/>
  <c r="I18" i="28" s="1"/>
  <c r="Z12" i="7"/>
  <c r="I14" i="28" s="1"/>
  <c r="Z8" i="7"/>
  <c r="I10" i="28" s="1"/>
  <c r="Z4" i="7"/>
  <c r="I6" i="28" s="1"/>
  <c r="Z36" i="7"/>
  <c r="I38" i="28" s="1"/>
  <c r="Z22" i="7"/>
  <c r="Z10" i="7"/>
  <c r="I12" i="28" s="1"/>
  <c r="Z3" i="7"/>
  <c r="Z31" i="7"/>
  <c r="I33" i="28" s="1"/>
  <c r="Z27" i="7"/>
  <c r="I29" i="28" s="1"/>
  <c r="Z23" i="7"/>
  <c r="I25" i="28" s="1"/>
  <c r="Z19" i="7"/>
  <c r="I21" i="28" s="1"/>
  <c r="Z15" i="7"/>
  <c r="Z7" i="7"/>
  <c r="I9" i="28" s="1"/>
  <c r="Z5" i="7"/>
  <c r="I7" i="28" s="1"/>
  <c r="M9" i="7"/>
  <c r="M11" i="7"/>
  <c r="AC15" i="7"/>
  <c r="AC20" i="7"/>
  <c r="A9" i="26"/>
  <c r="I5" i="28" l="1"/>
  <c r="I7" i="24"/>
  <c r="I19" i="24"/>
  <c r="I23" i="24"/>
  <c r="I4" i="24"/>
  <c r="I28" i="24"/>
  <c r="I18" i="24"/>
  <c r="I30" i="24"/>
  <c r="I25" i="24"/>
  <c r="I35" i="24"/>
  <c r="I26" i="24"/>
  <c r="Z9" i="7"/>
  <c r="I11" i="28" s="1"/>
  <c r="Z11" i="7"/>
  <c r="I13" i="28" s="1"/>
  <c r="I3" i="24"/>
  <c r="I16" i="24"/>
  <c r="I31" i="24"/>
  <c r="I27" i="24"/>
  <c r="I13" i="24"/>
  <c r="I34" i="24"/>
  <c r="I5" i="24"/>
  <c r="I12" i="24"/>
  <c r="I29" i="24"/>
  <c r="I10" i="24"/>
  <c r="I8" i="24"/>
  <c r="C7" i="26"/>
  <c r="C6" i="26"/>
  <c r="C5" i="26"/>
  <c r="C4" i="26"/>
  <c r="J78" i="28" l="1"/>
  <c r="J76" i="28"/>
  <c r="J82" i="28"/>
  <c r="J80" i="28"/>
  <c r="J70" i="28"/>
  <c r="J68" i="28"/>
  <c r="J74" i="28"/>
  <c r="J72" i="28"/>
  <c r="J62" i="28"/>
  <c r="J60" i="28"/>
  <c r="J66" i="28"/>
  <c r="J64" i="28"/>
  <c r="J55" i="28"/>
  <c r="J58" i="28"/>
  <c r="J56" i="28"/>
  <c r="J77" i="28"/>
  <c r="J83" i="28"/>
  <c r="J81" i="28"/>
  <c r="J79" i="28"/>
  <c r="J69" i="28"/>
  <c r="J75" i="28"/>
  <c r="J73" i="28"/>
  <c r="J71" i="28"/>
  <c r="J61" i="28"/>
  <c r="J67" i="28"/>
  <c r="J65" i="28"/>
  <c r="J63" i="28"/>
  <c r="J84" i="28"/>
  <c r="J59" i="28"/>
  <c r="J57" i="28"/>
  <c r="I11" i="24"/>
  <c r="J65" i="24"/>
  <c r="J81" i="24"/>
  <c r="J72" i="24"/>
  <c r="J79" i="24"/>
  <c r="J62" i="24"/>
  <c r="J69" i="24"/>
  <c r="J80" i="24"/>
  <c r="J73" i="24"/>
  <c r="J53" i="24"/>
  <c r="J56" i="24"/>
  <c r="J64" i="24"/>
  <c r="J61" i="24"/>
  <c r="J78" i="24"/>
  <c r="J76" i="24"/>
  <c r="J67" i="24"/>
  <c r="J58" i="24"/>
  <c r="J74" i="24"/>
  <c r="J75" i="24"/>
  <c r="J70" i="24"/>
  <c r="J82" i="24"/>
  <c r="J55" i="24"/>
  <c r="J59" i="24"/>
  <c r="J66" i="24"/>
  <c r="J71" i="24"/>
  <c r="J54" i="24"/>
  <c r="J77" i="24"/>
  <c r="J68" i="24"/>
  <c r="J60" i="24"/>
  <c r="J63" i="24"/>
  <c r="I9" i="24"/>
  <c r="Z756" i="7"/>
  <c r="J57" i="24"/>
  <c r="F34" i="26"/>
  <c r="F29" i="26"/>
  <c r="G15" i="26"/>
  <c r="F15" i="26"/>
  <c r="F121" i="26" l="1"/>
  <c r="F120" i="26"/>
  <c r="A110" i="26"/>
  <c r="E106" i="26"/>
  <c r="E103" i="26"/>
  <c r="E102" i="26"/>
  <c r="E108" i="26" l="1"/>
  <c r="F112" i="26"/>
  <c r="A114" i="26"/>
  <c r="B36" i="7" l="1"/>
  <c r="D36" i="7" s="1"/>
  <c r="B35" i="7"/>
  <c r="D35" i="7" s="1"/>
  <c r="B34" i="7"/>
  <c r="D34" i="7" s="1"/>
  <c r="B31" i="7"/>
  <c r="D31" i="7" s="1"/>
  <c r="B30" i="7"/>
  <c r="D30" i="7" s="1"/>
  <c r="B29" i="7"/>
  <c r="D29" i="7" s="1"/>
  <c r="B28" i="7"/>
  <c r="D28" i="7" s="1"/>
  <c r="B27" i="7"/>
  <c r="D27" i="7" s="1"/>
  <c r="B26" i="7"/>
  <c r="D26" i="7" s="1"/>
  <c r="B25" i="7"/>
  <c r="D25" i="7" s="1"/>
  <c r="B24" i="7"/>
  <c r="D24" i="7" s="1"/>
  <c r="B23" i="7"/>
  <c r="D23" i="7" s="1"/>
  <c r="B22" i="7"/>
  <c r="D22" i="7" s="1"/>
  <c r="B21" i="7"/>
  <c r="D21" i="7" s="1"/>
  <c r="B20" i="7"/>
  <c r="D20" i="7" s="1"/>
  <c r="B19" i="7"/>
  <c r="D19" i="7" s="1"/>
  <c r="B18" i="7"/>
  <c r="D18" i="7" s="1"/>
  <c r="B17" i="7"/>
  <c r="D17" i="7" s="1"/>
  <c r="B16" i="7"/>
  <c r="D16" i="7" s="1"/>
  <c r="B15" i="7"/>
  <c r="D15" i="7" s="1"/>
  <c r="B14" i="7"/>
  <c r="D14" i="7" s="1"/>
  <c r="B13" i="7"/>
  <c r="D13" i="7" s="1"/>
  <c r="B12" i="7"/>
  <c r="D12" i="7" s="1"/>
  <c r="B11" i="7"/>
  <c r="D11" i="7" s="1"/>
  <c r="B10" i="7"/>
  <c r="D10" i="7" s="1"/>
  <c r="B9" i="7"/>
  <c r="D9" i="7" s="1"/>
  <c r="B8" i="7"/>
  <c r="D8" i="7" s="1"/>
  <c r="B7" i="7"/>
  <c r="D7" i="7" s="1"/>
  <c r="B6" i="7"/>
  <c r="D6" i="7" s="1"/>
  <c r="B5" i="7"/>
  <c r="D5" i="7" s="1"/>
  <c r="B4" i="7"/>
  <c r="D4" i="7" s="1"/>
  <c r="H25" i="26" l="1"/>
  <c r="J123" i="20"/>
  <c r="J121" i="20"/>
  <c r="J120" i="20"/>
  <c r="J119" i="20"/>
  <c r="J114" i="20"/>
  <c r="J117" i="20"/>
  <c r="J116" i="20"/>
  <c r="J115" i="20"/>
  <c r="J118" i="20"/>
  <c r="J122" i="20"/>
  <c r="G123" i="20"/>
  <c r="G121" i="20"/>
  <c r="G120" i="20"/>
  <c r="G119" i="20"/>
  <c r="G114" i="20"/>
  <c r="G117" i="20"/>
  <c r="G116" i="20"/>
  <c r="G115" i="20"/>
  <c r="G118" i="20"/>
  <c r="G122" i="20"/>
  <c r="AE52" i="7" l="1"/>
  <c r="AE67" i="7"/>
  <c r="AE55" i="7"/>
  <c r="AE65" i="7"/>
  <c r="AE70" i="7"/>
  <c r="AE66" i="7"/>
  <c r="AE47" i="7"/>
  <c r="AE62" i="7"/>
  <c r="AE72" i="7"/>
  <c r="AE45" i="7"/>
  <c r="AE43" i="7"/>
  <c r="AE63" i="7"/>
  <c r="AE46" i="7"/>
  <c r="AE61" i="7"/>
  <c r="AE71" i="7"/>
  <c r="AE40" i="7"/>
  <c r="AE41" i="7"/>
  <c r="AE39" i="7"/>
  <c r="AE44" i="7"/>
  <c r="AE54" i="7"/>
  <c r="AE59" i="7"/>
  <c r="AE64" i="7"/>
  <c r="AE48" i="7"/>
  <c r="AE49" i="7"/>
  <c r="AE13" i="7"/>
  <c r="AE12" i="7"/>
  <c r="AA14" i="27"/>
  <c r="AA15" i="27"/>
  <c r="AA5" i="27"/>
  <c r="AA18" i="27"/>
  <c r="AA20" i="27"/>
  <c r="AA6" i="27"/>
  <c r="AA21" i="27"/>
  <c r="AA7" i="27"/>
  <c r="AA25" i="27"/>
  <c r="AA9" i="27"/>
  <c r="AA10" i="27"/>
  <c r="AA11" i="27"/>
  <c r="AA12" i="27"/>
  <c r="AA13" i="27"/>
  <c r="AA27" i="27"/>
  <c r="AA28" i="27"/>
  <c r="AA29" i="27"/>
  <c r="AA30" i="27"/>
  <c r="AA31" i="27"/>
  <c r="AA32" i="27"/>
  <c r="AA33" i="27"/>
  <c r="AA36" i="27"/>
  <c r="AA37" i="27"/>
  <c r="AA38" i="27"/>
  <c r="T14" i="27"/>
  <c r="T15" i="27"/>
  <c r="T12" i="27"/>
  <c r="T20" i="27"/>
  <c r="T28" i="27"/>
  <c r="T36" i="27"/>
  <c r="T38" i="27"/>
  <c r="T9" i="27"/>
  <c r="T13" i="27"/>
  <c r="T21" i="27"/>
  <c r="T29" i="27"/>
  <c r="T37" i="27"/>
  <c r="T25" i="27"/>
  <c r="T27" i="27"/>
  <c r="T6" i="27"/>
  <c r="T30" i="27"/>
  <c r="T33" i="27"/>
  <c r="T7" i="27"/>
  <c r="T31" i="27"/>
  <c r="T32" i="27"/>
  <c r="T5" i="27"/>
  <c r="T10" i="27"/>
  <c r="T18" i="27"/>
  <c r="T11" i="27"/>
  <c r="Z34" i="27"/>
  <c r="AB34" i="27" s="1"/>
  <c r="Z24" i="27"/>
  <c r="Z21" i="27"/>
  <c r="Z30" i="27"/>
  <c r="Z7" i="27"/>
  <c r="Z26" i="27"/>
  <c r="Z11" i="27"/>
  <c r="Z39" i="27"/>
  <c r="Z40" i="27"/>
  <c r="Z35" i="27"/>
  <c r="Z31" i="27"/>
  <c r="Z8" i="27"/>
  <c r="Z5" i="27"/>
  <c r="Z9" i="27"/>
  <c r="Z36" i="27"/>
  <c r="Z28" i="27"/>
  <c r="Z18" i="27"/>
  <c r="Z10" i="27"/>
  <c r="Z37" i="27"/>
  <c r="Z32" i="27"/>
  <c r="Z33" i="27"/>
  <c r="Z25" i="27"/>
  <c r="Z20" i="27"/>
  <c r="Z13" i="27"/>
  <c r="Z23" i="27"/>
  <c r="Z19" i="27"/>
  <c r="Z14" i="27"/>
  <c r="Z15" i="27"/>
  <c r="U14" i="27"/>
  <c r="U15" i="27"/>
  <c r="U6" i="27"/>
  <c r="U7" i="27"/>
  <c r="U31" i="27"/>
  <c r="U32" i="27"/>
  <c r="U38" i="27"/>
  <c r="U9" i="27"/>
  <c r="U25" i="27"/>
  <c r="U33" i="27"/>
  <c r="U5" i="27"/>
  <c r="U37" i="27"/>
  <c r="U30" i="27"/>
  <c r="U10" i="27"/>
  <c r="U18" i="27"/>
  <c r="U11" i="27"/>
  <c r="U27" i="27"/>
  <c r="U12" i="27"/>
  <c r="U20" i="27"/>
  <c r="U28" i="27"/>
  <c r="U36" i="27"/>
  <c r="U13" i="27"/>
  <c r="U21" i="27"/>
  <c r="U29" i="27"/>
  <c r="V14" i="27"/>
  <c r="V15" i="27"/>
  <c r="R32" i="27"/>
  <c r="R30" i="27"/>
  <c r="R9" i="27"/>
  <c r="R25" i="27"/>
  <c r="R33" i="27"/>
  <c r="R10" i="27"/>
  <c r="R18" i="27"/>
  <c r="R36" i="27"/>
  <c r="R6" i="27"/>
  <c r="R11" i="27"/>
  <c r="R27" i="27"/>
  <c r="R37" i="27"/>
  <c r="R31" i="27"/>
  <c r="R12" i="27"/>
  <c r="R20" i="27"/>
  <c r="R28" i="27"/>
  <c r="R38" i="27"/>
  <c r="R13" i="27"/>
  <c r="R21" i="27"/>
  <c r="R29" i="27"/>
  <c r="R5" i="27"/>
  <c r="R7" i="27"/>
  <c r="S15" i="27"/>
  <c r="S14" i="27"/>
  <c r="Y32" i="27"/>
  <c r="Y9" i="27"/>
  <c r="Y25" i="27"/>
  <c r="Y33" i="27"/>
  <c r="Y6" i="27"/>
  <c r="Y31" i="27"/>
  <c r="Y10" i="27"/>
  <c r="Y18" i="27"/>
  <c r="Y36" i="27"/>
  <c r="Y30" i="27"/>
  <c r="Y11" i="27"/>
  <c r="Y27" i="27"/>
  <c r="Y37" i="27"/>
  <c r="Y7" i="27"/>
  <c r="Y12" i="27"/>
  <c r="Y20" i="27"/>
  <c r="Y28" i="27"/>
  <c r="Y38" i="27"/>
  <c r="Y13" i="27"/>
  <c r="Y21" i="27"/>
  <c r="Y29" i="27"/>
  <c r="Y5" i="27"/>
  <c r="W15" i="27"/>
  <c r="W14" i="27"/>
  <c r="V31" i="27"/>
  <c r="V6" i="27"/>
  <c r="V10" i="27"/>
  <c r="V18" i="27"/>
  <c r="V30" i="27"/>
  <c r="V36" i="27"/>
  <c r="V37" i="27"/>
  <c r="V5" i="27"/>
  <c r="V9" i="27"/>
  <c r="V13" i="27"/>
  <c r="V21" i="27"/>
  <c r="V25" i="27"/>
  <c r="V29" i="27"/>
  <c r="V33" i="27"/>
  <c r="V11" i="27"/>
  <c r="V27" i="27"/>
  <c r="V7" i="27"/>
  <c r="V12" i="27"/>
  <c r="V20" i="27"/>
  <c r="V28" i="27"/>
  <c r="V32" i="27"/>
  <c r="V38" i="27"/>
  <c r="F92" i="26"/>
  <c r="X15" i="27"/>
  <c r="X14" i="27"/>
  <c r="W7" i="27"/>
  <c r="W11" i="27"/>
  <c r="W27" i="27"/>
  <c r="W31" i="27"/>
  <c r="W37" i="27"/>
  <c r="W5" i="27"/>
  <c r="W6" i="27"/>
  <c r="W10" i="27"/>
  <c r="W18" i="27"/>
  <c r="W30" i="27"/>
  <c r="W36" i="27"/>
  <c r="W12" i="27"/>
  <c r="W32" i="27"/>
  <c r="W9" i="27"/>
  <c r="W13" i="27"/>
  <c r="W21" i="27"/>
  <c r="W25" i="27"/>
  <c r="W29" i="27"/>
  <c r="W33" i="27"/>
  <c r="W28" i="27"/>
  <c r="W38" i="27"/>
  <c r="W20" i="27"/>
  <c r="X5" i="27"/>
  <c r="X20" i="27"/>
  <c r="X7" i="27"/>
  <c r="X11" i="27"/>
  <c r="X27" i="27"/>
  <c r="X31" i="27"/>
  <c r="X37" i="27"/>
  <c r="X28" i="27"/>
  <c r="X6" i="27"/>
  <c r="X10" i="27"/>
  <c r="X18" i="27"/>
  <c r="X30" i="27"/>
  <c r="X36" i="27"/>
  <c r="X12" i="27"/>
  <c r="X38" i="27"/>
  <c r="X9" i="27"/>
  <c r="X13" i="27"/>
  <c r="X21" i="27"/>
  <c r="X25" i="27"/>
  <c r="X29" i="27"/>
  <c r="X33" i="27"/>
  <c r="X32" i="27"/>
  <c r="R15" i="27"/>
  <c r="R14" i="27"/>
  <c r="S9" i="27"/>
  <c r="S13" i="27"/>
  <c r="S21" i="27"/>
  <c r="S25" i="27"/>
  <c r="S29" i="27"/>
  <c r="S33" i="27"/>
  <c r="S10" i="27"/>
  <c r="S36" i="27"/>
  <c r="S18" i="27"/>
  <c r="S12" i="27"/>
  <c r="S20" i="27"/>
  <c r="S28" i="27"/>
  <c r="S32" i="27"/>
  <c r="S38" i="27"/>
  <c r="S30" i="27"/>
  <c r="S7" i="27"/>
  <c r="S11" i="27"/>
  <c r="S27" i="27"/>
  <c r="S31" i="27"/>
  <c r="S37" i="27"/>
  <c r="S5" i="27"/>
  <c r="S6" i="27"/>
  <c r="Y14" i="27"/>
  <c r="Y15" i="27"/>
  <c r="F89" i="26" l="1"/>
  <c r="F83" i="26"/>
  <c r="F84" i="26"/>
  <c r="F90" i="26"/>
  <c r="F85" i="26"/>
  <c r="F86" i="26"/>
  <c r="F88" i="26"/>
  <c r="AB40" i="27"/>
  <c r="AB39" i="27"/>
  <c r="O32" i="7"/>
  <c r="O68" i="7"/>
  <c r="AB35" i="27"/>
  <c r="AB20" i="27"/>
  <c r="O54" i="7" s="1"/>
  <c r="AB26" i="27"/>
  <c r="O60" i="7" s="1"/>
  <c r="AB11" i="27"/>
  <c r="O45" i="7" s="1"/>
  <c r="AB21" i="27"/>
  <c r="O55" i="7" s="1"/>
  <c r="AB37" i="27"/>
  <c r="O71" i="7" s="1"/>
  <c r="AB28" i="27"/>
  <c r="O62" i="7" s="1"/>
  <c r="AB27" i="27"/>
  <c r="O61" i="7" s="1"/>
  <c r="AB25" i="27"/>
  <c r="O59" i="7" s="1"/>
  <c r="AB18" i="27"/>
  <c r="O52" i="7" s="1"/>
  <c r="AB19" i="27"/>
  <c r="O53" i="7" s="1"/>
  <c r="AB32" i="27"/>
  <c r="O66" i="7" s="1"/>
  <c r="AB7" i="27"/>
  <c r="O41" i="7" s="1"/>
  <c r="AB29" i="27"/>
  <c r="O63" i="7" s="1"/>
  <c r="AB9" i="27"/>
  <c r="O43" i="7" s="1"/>
  <c r="AB30" i="27"/>
  <c r="O64" i="7" s="1"/>
  <c r="AB31" i="27"/>
  <c r="O65" i="7" s="1"/>
  <c r="AB14" i="27"/>
  <c r="O48" i="7" s="1"/>
  <c r="AB8" i="27"/>
  <c r="AB24" i="27"/>
  <c r="O58" i="7" s="1"/>
  <c r="AB38" i="27"/>
  <c r="O72" i="7" s="1"/>
  <c r="AB12" i="27"/>
  <c r="O46" i="7" s="1"/>
  <c r="AB33" i="27"/>
  <c r="O67" i="7" s="1"/>
  <c r="AB13" i="27"/>
  <c r="O47" i="7" s="1"/>
  <c r="AB36" i="27"/>
  <c r="O70" i="7" s="1"/>
  <c r="AB6" i="27"/>
  <c r="O40" i="7" s="1"/>
  <c r="AB15" i="27"/>
  <c r="O49" i="7" s="1"/>
  <c r="AB23" i="27"/>
  <c r="O57" i="7" s="1"/>
  <c r="AB10" i="27"/>
  <c r="O44" i="7" s="1"/>
  <c r="F87" i="26"/>
  <c r="AB5" i="27"/>
  <c r="O39" i="7" s="1"/>
  <c r="O20" i="7"/>
  <c r="O14" i="7"/>
  <c r="O15" i="7"/>
  <c r="F93" i="26" l="1"/>
  <c r="O33" i="7"/>
  <c r="O69" i="7"/>
  <c r="O6" i="7"/>
  <c r="O42" i="7"/>
  <c r="O74" i="7"/>
  <c r="O38" i="7"/>
  <c r="O17" i="7"/>
  <c r="O73" i="7"/>
  <c r="O37" i="7"/>
  <c r="O21" i="7"/>
  <c r="O24" i="7"/>
  <c r="O22" i="7"/>
  <c r="O35" i="7"/>
  <c r="O36" i="7"/>
  <c r="O10" i="7"/>
  <c r="O28" i="7"/>
  <c r="O26" i="7"/>
  <c r="O12" i="7"/>
  <c r="O27" i="7"/>
  <c r="O13" i="7"/>
  <c r="O5" i="7"/>
  <c r="O23" i="7"/>
  <c r="O4" i="7"/>
  <c r="O31" i="7"/>
  <c r="O34" i="7"/>
  <c r="O11" i="7"/>
  <c r="O7" i="7"/>
  <c r="O8" i="7"/>
  <c r="O18" i="7"/>
  <c r="O29" i="7"/>
  <c r="O16" i="7"/>
  <c r="O19" i="7"/>
  <c r="O9" i="7"/>
  <c r="O3" i="7"/>
  <c r="O25" i="7"/>
  <c r="O30" i="7"/>
  <c r="B3" i="7"/>
  <c r="D3" i="7" s="1"/>
  <c r="I41" i="28" l="1"/>
  <c r="J24" i="20"/>
  <c r="F36" i="26" s="1"/>
  <c r="F35" i="26"/>
  <c r="J21" i="20"/>
  <c r="F33" i="26" s="1"/>
  <c r="J20" i="20"/>
  <c r="F32" i="26" s="1"/>
  <c r="J19" i="20"/>
  <c r="F31" i="26" s="1"/>
  <c r="J18" i="20"/>
  <c r="F30" i="26" s="1"/>
  <c r="F3" i="20"/>
  <c r="F2" i="20"/>
  <c r="T33" i="7" l="1"/>
  <c r="T32" i="7"/>
  <c r="E125" i="26"/>
  <c r="T38" i="7"/>
  <c r="T37" i="7"/>
  <c r="K44" i="28"/>
  <c r="J85" i="28"/>
  <c r="F37" i="26"/>
  <c r="T34" i="7"/>
  <c r="AE34" i="7" s="1"/>
  <c r="T28" i="7"/>
  <c r="AE28" i="7" s="1"/>
  <c r="T24" i="7"/>
  <c r="T20" i="7"/>
  <c r="T16" i="7"/>
  <c r="AE16" i="7" s="1"/>
  <c r="T12" i="7"/>
  <c r="T8" i="7"/>
  <c r="AE8" i="7" s="1"/>
  <c r="T4" i="7"/>
  <c r="AE4" i="7" s="1"/>
  <c r="T25" i="7"/>
  <c r="AE25" i="7" s="1"/>
  <c r="T17" i="7"/>
  <c r="T9" i="7"/>
  <c r="AE9" i="7" s="1"/>
  <c r="T26" i="7"/>
  <c r="AE26" i="7" s="1"/>
  <c r="T14" i="7"/>
  <c r="T31" i="7"/>
  <c r="AE31" i="7" s="1"/>
  <c r="T19" i="7"/>
  <c r="AE19" i="7" s="1"/>
  <c r="T7" i="7"/>
  <c r="AE7" i="7" s="1"/>
  <c r="T35" i="7"/>
  <c r="AE35" i="7" s="1"/>
  <c r="T29" i="7"/>
  <c r="AE29" i="7" s="1"/>
  <c r="T21" i="7"/>
  <c r="T13" i="7"/>
  <c r="T5" i="7"/>
  <c r="AE5" i="7" s="1"/>
  <c r="T18" i="7"/>
  <c r="AE18" i="7" s="1"/>
  <c r="T10" i="7"/>
  <c r="AE10" i="7" s="1"/>
  <c r="T23" i="7"/>
  <c r="AE23" i="7" s="1"/>
  <c r="T15" i="7"/>
  <c r="T3" i="7"/>
  <c r="AE3" i="7" s="1"/>
  <c r="T36" i="7"/>
  <c r="AE36" i="7" s="1"/>
  <c r="T30" i="7"/>
  <c r="AE30" i="7" s="1"/>
  <c r="T22" i="7"/>
  <c r="T6" i="7"/>
  <c r="T27" i="7"/>
  <c r="AE27" i="7" s="1"/>
  <c r="T11" i="7"/>
  <c r="AE11" i="7" s="1"/>
  <c r="F71" i="26"/>
  <c r="F70" i="26"/>
  <c r="F69" i="26"/>
  <c r="F68" i="26"/>
  <c r="F61" i="26"/>
  <c r="F56" i="26"/>
  <c r="J28" i="20"/>
  <c r="J25" i="20"/>
  <c r="J51" i="20" l="1"/>
  <c r="J45" i="28"/>
  <c r="J66" i="20"/>
  <c r="I48" i="28"/>
  <c r="J42" i="20"/>
  <c r="J46" i="20" s="1"/>
  <c r="F40" i="26"/>
  <c r="J43" i="24"/>
  <c r="F55" i="26"/>
  <c r="F53" i="26"/>
  <c r="I46" i="24"/>
  <c r="I69" i="20"/>
  <c r="F50" i="26"/>
  <c r="J29" i="20"/>
  <c r="J47" i="28" s="1"/>
  <c r="F63" i="26"/>
  <c r="J55" i="20"/>
  <c r="J46" i="28" s="1"/>
  <c r="J50" i="20" l="1"/>
  <c r="J52" i="20" s="1"/>
  <c r="J48" i="28"/>
  <c r="J67" i="20"/>
  <c r="F67" i="26"/>
  <c r="J44" i="24"/>
  <c r="J68" i="20"/>
  <c r="F41" i="26"/>
  <c r="J45" i="24"/>
  <c r="F46" i="26"/>
  <c r="F47" i="26" s="1"/>
  <c r="F52" i="26"/>
  <c r="F51" i="26"/>
  <c r="F54" i="26"/>
  <c r="J30" i="20"/>
  <c r="J60" i="20"/>
  <c r="F58" i="26" l="1"/>
  <c r="J46" i="24"/>
  <c r="J69" i="20"/>
  <c r="J61" i="20"/>
  <c r="F72" i="26"/>
  <c r="F73" i="26" s="1"/>
  <c r="F123" i="26" s="1"/>
  <c r="J49" i="28"/>
  <c r="J50" i="28" s="1"/>
  <c r="K50" i="28" s="1"/>
  <c r="F62" i="26"/>
  <c r="F64" i="26" s="1"/>
  <c r="J31" i="20"/>
  <c r="F42" i="26"/>
  <c r="F43" i="26" s="1"/>
  <c r="J63" i="20" l="1"/>
  <c r="F75" i="26"/>
  <c r="H75" i="26" s="1"/>
  <c r="F96" i="26" s="1"/>
  <c r="F122" i="26" s="1"/>
  <c r="J70" i="20"/>
  <c r="J71" i="20" s="1"/>
  <c r="J47" i="24"/>
  <c r="AA56" i="7" l="1"/>
  <c r="AA57" i="7"/>
  <c r="AA73" i="7"/>
  <c r="AA58" i="7"/>
  <c r="AA51" i="7"/>
  <c r="AA60" i="7"/>
  <c r="AA32" i="7"/>
  <c r="AA50" i="7"/>
  <c r="AA68" i="7"/>
  <c r="AA69" i="7"/>
  <c r="AA33" i="7"/>
  <c r="AA74" i="7"/>
  <c r="AA53" i="7"/>
  <c r="AA42" i="7"/>
  <c r="AA38" i="7"/>
  <c r="AA37" i="7"/>
  <c r="AA67" i="7"/>
  <c r="AA72" i="7"/>
  <c r="AA65" i="7"/>
  <c r="AA62" i="7"/>
  <c r="AA49" i="7"/>
  <c r="AA63" i="7"/>
  <c r="AA64" i="7"/>
  <c r="AA39" i="7"/>
  <c r="AA66" i="7"/>
  <c r="AA59" i="7"/>
  <c r="AA71" i="7"/>
  <c r="AA54" i="7"/>
  <c r="AA61" i="7"/>
  <c r="AA55" i="7"/>
  <c r="AA43" i="7"/>
  <c r="AA40" i="7"/>
  <c r="AA48" i="7"/>
  <c r="AA44" i="7"/>
  <c r="AA52" i="7"/>
  <c r="AA70" i="7"/>
  <c r="AA46" i="7"/>
  <c r="AA41" i="7"/>
  <c r="AA31" i="7"/>
  <c r="AA15" i="7"/>
  <c r="AA4" i="7"/>
  <c r="AA10" i="7"/>
  <c r="AA14" i="7"/>
  <c r="AA5" i="7"/>
  <c r="AA35" i="7"/>
  <c r="AA21" i="7"/>
  <c r="AA13" i="7"/>
  <c r="AA26" i="7"/>
  <c r="AA17" i="7"/>
  <c r="AA47" i="7"/>
  <c r="AA7" i="7"/>
  <c r="AA27" i="7"/>
  <c r="AA12" i="7"/>
  <c r="AA34" i="7"/>
  <c r="AA30" i="7"/>
  <c r="AA29" i="7"/>
  <c r="AA19" i="7"/>
  <c r="AA24" i="7"/>
  <c r="AA28" i="7"/>
  <c r="AA22" i="7"/>
  <c r="AA45" i="7"/>
  <c r="AA8" i="7"/>
  <c r="AA23" i="7"/>
  <c r="AA16" i="7"/>
  <c r="AA18" i="7"/>
  <c r="AA3" i="7"/>
  <c r="AA20" i="7"/>
  <c r="AA36" i="7"/>
  <c r="AA25" i="7"/>
  <c r="AA6" i="7"/>
  <c r="AA9" i="7"/>
  <c r="AA11" i="7"/>
  <c r="Q39" i="27"/>
  <c r="Q40" i="27"/>
  <c r="Q35" i="27"/>
  <c r="Q34" i="27"/>
  <c r="Q16" i="27"/>
  <c r="N50" i="7" s="1"/>
  <c r="Q17" i="27"/>
  <c r="N51" i="7" s="1"/>
  <c r="Q22" i="27"/>
  <c r="N56" i="7" s="1"/>
  <c r="Q9" i="27"/>
  <c r="N43" i="7" s="1"/>
  <c r="Q20" i="27"/>
  <c r="N54" i="7" s="1"/>
  <c r="Q19" i="27"/>
  <c r="N53" i="7" s="1"/>
  <c r="Q23" i="27"/>
  <c r="N57" i="7" s="1"/>
  <c r="Q21" i="27"/>
  <c r="N55" i="7" s="1"/>
  <c r="Q32" i="27"/>
  <c r="N66" i="7" s="1"/>
  <c r="Q8" i="27"/>
  <c r="N42" i="7" s="1"/>
  <c r="Q24" i="27"/>
  <c r="N58" i="7" s="1"/>
  <c r="Q6" i="27"/>
  <c r="N40" i="7" s="1"/>
  <c r="Q27" i="27"/>
  <c r="N61" i="7" s="1"/>
  <c r="Q26" i="27"/>
  <c r="N60" i="7" s="1"/>
  <c r="Q25" i="27"/>
  <c r="N59" i="7" s="1"/>
  <c r="Q30" i="27"/>
  <c r="N64" i="7" s="1"/>
  <c r="Q31" i="27"/>
  <c r="N65" i="7" s="1"/>
  <c r="Q33" i="27"/>
  <c r="N67" i="7" s="1"/>
  <c r="Q29" i="27"/>
  <c r="N63" i="7" s="1"/>
  <c r="Q38" i="27"/>
  <c r="N72" i="7" s="1"/>
  <c r="Q5" i="27"/>
  <c r="N39" i="7" s="1"/>
  <c r="Q15" i="27"/>
  <c r="N49" i="7" s="1"/>
  <c r="Q28" i="27"/>
  <c r="N62" i="7" s="1"/>
  <c r="Q14" i="27"/>
  <c r="N48" i="7" s="1"/>
  <c r="Q37" i="27"/>
  <c r="N71" i="7" s="1"/>
  <c r="Q18" i="27"/>
  <c r="N52" i="7" s="1"/>
  <c r="Q36" i="27"/>
  <c r="N70" i="7" s="1"/>
  <c r="Q10" i="27"/>
  <c r="N44" i="7" s="1"/>
  <c r="Q12" i="27"/>
  <c r="N46" i="7" s="1"/>
  <c r="Q7" i="27"/>
  <c r="N41" i="7" s="1"/>
  <c r="Q13" i="27"/>
  <c r="N47" i="7" s="1"/>
  <c r="Q11" i="27"/>
  <c r="N45" i="7" s="1"/>
  <c r="J48" i="24"/>
  <c r="K63" i="28" l="1"/>
  <c r="K71" i="28"/>
  <c r="K79" i="28"/>
  <c r="K56" i="28"/>
  <c r="K64" i="28"/>
  <c r="K72" i="28"/>
  <c r="K80" i="28"/>
  <c r="K57" i="28"/>
  <c r="K65" i="28"/>
  <c r="K73" i="28"/>
  <c r="K81" i="28"/>
  <c r="K58" i="28"/>
  <c r="K66" i="28"/>
  <c r="K74" i="28"/>
  <c r="K82" i="28"/>
  <c r="K59" i="28"/>
  <c r="K67" i="28"/>
  <c r="K75" i="28"/>
  <c r="K83" i="28"/>
  <c r="K60" i="28"/>
  <c r="K68" i="28"/>
  <c r="K76" i="28"/>
  <c r="K84" i="28"/>
  <c r="K61" i="28"/>
  <c r="K69" i="28"/>
  <c r="K77" i="28"/>
  <c r="K55" i="28"/>
  <c r="K62" i="28"/>
  <c r="K70" i="28"/>
  <c r="K78" i="28"/>
  <c r="K78" i="24"/>
  <c r="K67" i="24"/>
  <c r="K56" i="24"/>
  <c r="K80" i="24"/>
  <c r="K77" i="24"/>
  <c r="K57" i="24"/>
  <c r="K66" i="24"/>
  <c r="K69" i="24"/>
  <c r="K54" i="24"/>
  <c r="K62" i="24"/>
  <c r="K64" i="24"/>
  <c r="K81" i="24"/>
  <c r="K76" i="24"/>
  <c r="K53" i="24"/>
  <c r="K60" i="24"/>
  <c r="K73" i="24"/>
  <c r="K58" i="24"/>
  <c r="K75" i="24"/>
  <c r="K79" i="24"/>
  <c r="K72" i="24"/>
  <c r="K63" i="24"/>
  <c r="K70" i="24"/>
  <c r="K68" i="24"/>
  <c r="K55" i="24"/>
  <c r="K74" i="24"/>
  <c r="K59" i="24"/>
  <c r="K65" i="24"/>
  <c r="K61" i="24"/>
  <c r="K71" i="24"/>
  <c r="K82" i="24"/>
  <c r="AA756" i="7"/>
  <c r="R64" i="7"/>
  <c r="S64" i="7" s="1"/>
  <c r="U64" i="7" s="1"/>
  <c r="R42" i="7"/>
  <c r="S42" i="7" s="1"/>
  <c r="U42" i="7" s="1"/>
  <c r="R72" i="7"/>
  <c r="S72" i="7" s="1"/>
  <c r="U72" i="7" s="1"/>
  <c r="R59" i="7"/>
  <c r="S59" i="7" s="1"/>
  <c r="U59" i="7" s="1"/>
  <c r="R63" i="7"/>
  <c r="S63" i="7" s="1"/>
  <c r="U63" i="7" s="1"/>
  <c r="R71" i="7"/>
  <c r="S71" i="7" s="1"/>
  <c r="U71" i="7" s="1"/>
  <c r="R67" i="7"/>
  <c r="S67" i="7" s="1"/>
  <c r="U67" i="7" s="1"/>
  <c r="N69" i="7"/>
  <c r="N33" i="7"/>
  <c r="AF35" i="27"/>
  <c r="AG35" i="27" s="1"/>
  <c r="N68" i="7"/>
  <c r="N32" i="7"/>
  <c r="AF34" i="27"/>
  <c r="AG34" i="27" s="1"/>
  <c r="N73" i="7"/>
  <c r="N37" i="7"/>
  <c r="AF40" i="27"/>
  <c r="AG40" i="27" s="1"/>
  <c r="N74" i="7"/>
  <c r="N38" i="7"/>
  <c r="AF39" i="27"/>
  <c r="AG39" i="27" s="1"/>
  <c r="R65" i="7"/>
  <c r="AD65" i="7" s="1"/>
  <c r="R40" i="7"/>
  <c r="AD40" i="7" s="1"/>
  <c r="R60" i="7"/>
  <c r="AD60" i="7" s="1"/>
  <c r="R45" i="7"/>
  <c r="AD45" i="7" s="1"/>
  <c r="R41" i="7"/>
  <c r="AD41" i="7" s="1"/>
  <c r="R55" i="7"/>
  <c r="AD55" i="7" s="1"/>
  <c r="R57" i="7"/>
  <c r="AD57" i="7" s="1"/>
  <c r="R52" i="7"/>
  <c r="AD52" i="7" s="1"/>
  <c r="R62" i="7"/>
  <c r="AD62" i="7" s="1"/>
  <c r="R61" i="7"/>
  <c r="AD61" i="7" s="1"/>
  <c r="R47" i="7"/>
  <c r="AD47" i="7" s="1"/>
  <c r="R66" i="7"/>
  <c r="AD66" i="7" s="1"/>
  <c r="R48" i="7"/>
  <c r="AD48" i="7" s="1"/>
  <c r="R56" i="7"/>
  <c r="S56" i="7" s="1"/>
  <c r="R51" i="7"/>
  <c r="S51" i="7" s="1"/>
  <c r="R58" i="7"/>
  <c r="AD58" i="7" s="1"/>
  <c r="R46" i="7"/>
  <c r="AD46" i="7" s="1"/>
  <c r="R44" i="7"/>
  <c r="AD44" i="7" s="1"/>
  <c r="R70" i="7"/>
  <c r="AD70" i="7" s="1"/>
  <c r="R53" i="7"/>
  <c r="AD53" i="7" s="1"/>
  <c r="R54" i="7"/>
  <c r="AD54" i="7" s="1"/>
  <c r="R43" i="7"/>
  <c r="AD43" i="7" s="1"/>
  <c r="R49" i="7"/>
  <c r="AD49" i="7" s="1"/>
  <c r="R39" i="7"/>
  <c r="AD39" i="7" s="1"/>
  <c r="R50" i="7"/>
  <c r="S50" i="7" s="1"/>
  <c r="AF5" i="27"/>
  <c r="AG5" i="27" s="1"/>
  <c r="N10" i="7"/>
  <c r="AF12" i="27"/>
  <c r="N35" i="7"/>
  <c r="AF37" i="27"/>
  <c r="N3" i="7"/>
  <c r="N29" i="7"/>
  <c r="AF31" i="27"/>
  <c r="AG31" i="27" s="1"/>
  <c r="N25" i="7"/>
  <c r="AF27" i="27"/>
  <c r="N30" i="7"/>
  <c r="AF32" i="27"/>
  <c r="AG32" i="27" s="1"/>
  <c r="N18" i="7"/>
  <c r="AF20" i="27"/>
  <c r="AG20" i="27" s="1"/>
  <c r="N14" i="7"/>
  <c r="AF16" i="27"/>
  <c r="N5" i="7"/>
  <c r="AF7" i="27"/>
  <c r="N16" i="7"/>
  <c r="AF18" i="27"/>
  <c r="N13" i="7"/>
  <c r="AF15" i="27"/>
  <c r="N31" i="7"/>
  <c r="AF33" i="27"/>
  <c r="N24" i="7"/>
  <c r="AF26" i="27"/>
  <c r="N6" i="7"/>
  <c r="AF8" i="27"/>
  <c r="N17" i="7"/>
  <c r="AF19" i="27"/>
  <c r="N15" i="7"/>
  <c r="AF17" i="27"/>
  <c r="N11" i="7"/>
  <c r="AF13" i="27"/>
  <c r="AG13" i="27" s="1"/>
  <c r="N34" i="7"/>
  <c r="AF36" i="27"/>
  <c r="AG36" i="27" s="1"/>
  <c r="N26" i="7"/>
  <c r="AF28" i="27"/>
  <c r="N27" i="7"/>
  <c r="AF29" i="27"/>
  <c r="N23" i="7"/>
  <c r="AF25" i="27"/>
  <c r="AG25" i="27" s="1"/>
  <c r="N22" i="7"/>
  <c r="AF24" i="27"/>
  <c r="N21" i="7"/>
  <c r="AF23" i="27"/>
  <c r="AG23" i="27" s="1"/>
  <c r="N20" i="7"/>
  <c r="AF22" i="27"/>
  <c r="N9" i="7"/>
  <c r="AF11" i="27"/>
  <c r="N8" i="7"/>
  <c r="AF10" i="27"/>
  <c r="N12" i="7"/>
  <c r="AF14" i="27"/>
  <c r="AG14" i="27" s="1"/>
  <c r="N36" i="7"/>
  <c r="AF38" i="27"/>
  <c r="AG38" i="27" s="1"/>
  <c r="N28" i="7"/>
  <c r="AF30" i="27"/>
  <c r="AG30" i="27" s="1"/>
  <c r="N4" i="7"/>
  <c r="AF6" i="27"/>
  <c r="AG6" i="27" s="1"/>
  <c r="N19" i="7"/>
  <c r="AF21" i="27"/>
  <c r="AG21" i="27" s="1"/>
  <c r="N7" i="7"/>
  <c r="AF9" i="27"/>
  <c r="K83" i="24" l="1"/>
  <c r="AD42" i="7"/>
  <c r="AD64" i="7"/>
  <c r="AD59" i="7"/>
  <c r="AD72" i="7"/>
  <c r="S39" i="7"/>
  <c r="U39" i="7" s="1"/>
  <c r="V39" i="7" s="1"/>
  <c r="S61" i="7"/>
  <c r="U61" i="7" s="1"/>
  <c r="V61" i="7" s="1"/>
  <c r="S54" i="7"/>
  <c r="U54" i="7" s="1"/>
  <c r="X54" i="7" s="1"/>
  <c r="S52" i="7"/>
  <c r="U52" i="7" s="1"/>
  <c r="AD67" i="7"/>
  <c r="S46" i="7"/>
  <c r="U46" i="7" s="1"/>
  <c r="S58" i="7"/>
  <c r="U58" i="7" s="1"/>
  <c r="V58" i="7" s="1"/>
  <c r="AD71" i="7"/>
  <c r="S70" i="7"/>
  <c r="U70" i="7" s="1"/>
  <c r="S44" i="7"/>
  <c r="U44" i="7" s="1"/>
  <c r="AC44" i="7" s="1"/>
  <c r="S65" i="7"/>
  <c r="U65" i="7" s="1"/>
  <c r="AC65" i="7" s="1"/>
  <c r="U51" i="7"/>
  <c r="V51" i="7" s="1"/>
  <c r="R30" i="7"/>
  <c r="S30" i="7" s="1"/>
  <c r="R38" i="7"/>
  <c r="S38" i="7" s="1"/>
  <c r="U38" i="7" s="1"/>
  <c r="R25" i="7"/>
  <c r="S25" i="7" s="1"/>
  <c r="R6" i="7"/>
  <c r="S6" i="7" s="1"/>
  <c r="R21" i="7"/>
  <c r="AD21" i="7" s="1"/>
  <c r="S62" i="7"/>
  <c r="U62" i="7" s="1"/>
  <c r="R10" i="7"/>
  <c r="R16" i="7"/>
  <c r="AD16" i="7" s="1"/>
  <c r="S43" i="7"/>
  <c r="U43" i="7" s="1"/>
  <c r="AC43" i="7" s="1"/>
  <c r="S47" i="7"/>
  <c r="U47" i="7" s="1"/>
  <c r="R15" i="7"/>
  <c r="S15" i="7" s="1"/>
  <c r="R24" i="7"/>
  <c r="S24" i="7" s="1"/>
  <c r="R35" i="7"/>
  <c r="S35" i="7" s="1"/>
  <c r="R13" i="7"/>
  <c r="S13" i="7" s="1"/>
  <c r="R37" i="7"/>
  <c r="S37" i="7" s="1"/>
  <c r="U37" i="7" s="1"/>
  <c r="S49" i="7"/>
  <c r="U49" i="7" s="1"/>
  <c r="AC49" i="7" s="1"/>
  <c r="R9" i="7"/>
  <c r="AD9" i="7" s="1"/>
  <c r="R17" i="7"/>
  <c r="AD17" i="7" s="1"/>
  <c r="R28" i="7"/>
  <c r="AD28" i="7" s="1"/>
  <c r="S53" i="7"/>
  <c r="U53" i="7" s="1"/>
  <c r="AC53" i="7" s="1"/>
  <c r="R22" i="7"/>
  <c r="AD22" i="7" s="1"/>
  <c r="U50" i="7"/>
  <c r="V50" i="7" s="1"/>
  <c r="R27" i="7"/>
  <c r="S27" i="7" s="1"/>
  <c r="S57" i="7"/>
  <c r="U57" i="7" s="1"/>
  <c r="S55" i="7"/>
  <c r="U55" i="7" s="1"/>
  <c r="R31" i="7"/>
  <c r="S31" i="7" s="1"/>
  <c r="R4" i="7"/>
  <c r="AD4" i="7" s="1"/>
  <c r="R26" i="7"/>
  <c r="AD26" i="7" s="1"/>
  <c r="R14" i="7"/>
  <c r="S14" i="7" s="1"/>
  <c r="S66" i="7"/>
  <c r="U66" i="7" s="1"/>
  <c r="S41" i="7"/>
  <c r="U41" i="7" s="1"/>
  <c r="R3" i="7"/>
  <c r="AD3" i="7" s="1"/>
  <c r="R19" i="7"/>
  <c r="AD19" i="7" s="1"/>
  <c r="R23" i="7"/>
  <c r="S23" i="7" s="1"/>
  <c r="AD63" i="7"/>
  <c r="R34" i="7"/>
  <c r="S34" i="7" s="1"/>
  <c r="S40" i="7"/>
  <c r="U40" i="7" s="1"/>
  <c r="X40" i="7" s="1"/>
  <c r="S45" i="7"/>
  <c r="U45" i="7" s="1"/>
  <c r="X45" i="7" s="1"/>
  <c r="R8" i="7"/>
  <c r="AD8" i="7" s="1"/>
  <c r="U56" i="7"/>
  <c r="X56" i="7" s="1"/>
  <c r="R29" i="7"/>
  <c r="AD29" i="7" s="1"/>
  <c r="S48" i="7"/>
  <c r="U48" i="7" s="1"/>
  <c r="X48" i="7" s="1"/>
  <c r="R7" i="7"/>
  <c r="AD7" i="7" s="1"/>
  <c r="R36" i="7"/>
  <c r="S36" i="7" s="1"/>
  <c r="R12" i="7"/>
  <c r="S12" i="7" s="1"/>
  <c r="R18" i="7"/>
  <c r="S18" i="7" s="1"/>
  <c r="S60" i="7"/>
  <c r="U60" i="7" s="1"/>
  <c r="V60" i="7" s="1"/>
  <c r="R20" i="7"/>
  <c r="S20" i="7" s="1"/>
  <c r="R5" i="7"/>
  <c r="AD5" i="7" s="1"/>
  <c r="E39" i="32"/>
  <c r="G39" i="32" s="1"/>
  <c r="AI39" i="27"/>
  <c r="AJ39" i="27" s="1"/>
  <c r="R32" i="7"/>
  <c r="AD32" i="7" s="1"/>
  <c r="AI34" i="27"/>
  <c r="AJ34" i="27" s="1"/>
  <c r="E33" i="32"/>
  <c r="G33" i="32" s="1"/>
  <c r="R68" i="7"/>
  <c r="AD68" i="7" s="1"/>
  <c r="R74" i="7"/>
  <c r="AD74" i="7" s="1"/>
  <c r="R73" i="7"/>
  <c r="AD73" i="7" s="1"/>
  <c r="AI35" i="27"/>
  <c r="AJ35" i="27" s="1"/>
  <c r="E34" i="32"/>
  <c r="G34" i="32" s="1"/>
  <c r="R33" i="7"/>
  <c r="AD33" i="7" s="1"/>
  <c r="E38" i="32"/>
  <c r="G38" i="32" s="1"/>
  <c r="AI40" i="27"/>
  <c r="AJ40" i="27" s="1"/>
  <c r="R69" i="7"/>
  <c r="AD69" i="7" s="1"/>
  <c r="AC64" i="7"/>
  <c r="X64" i="7"/>
  <c r="V64" i="7"/>
  <c r="X71" i="7"/>
  <c r="V71" i="7"/>
  <c r="AC71" i="7"/>
  <c r="X63" i="7"/>
  <c r="V63" i="7"/>
  <c r="AC63" i="7"/>
  <c r="V59" i="7"/>
  <c r="X59" i="7"/>
  <c r="AC59" i="7"/>
  <c r="X42" i="7"/>
  <c r="V42" i="7"/>
  <c r="AC42" i="7"/>
  <c r="AC67" i="7"/>
  <c r="V67" i="7"/>
  <c r="X67" i="7"/>
  <c r="AC72" i="7"/>
  <c r="X72" i="7"/>
  <c r="V72" i="7"/>
  <c r="R11" i="7"/>
  <c r="AD11" i="7" s="1"/>
  <c r="AG28" i="27"/>
  <c r="AI28" i="27" s="1"/>
  <c r="AG15" i="27"/>
  <c r="AI15" i="27" s="1"/>
  <c r="AG37" i="27"/>
  <c r="AG10" i="27"/>
  <c r="E9" i="32" s="1"/>
  <c r="G9" i="32" s="1"/>
  <c r="AG22" i="27"/>
  <c r="E21" i="32" s="1"/>
  <c r="G21" i="32" s="1"/>
  <c r="AG24" i="27"/>
  <c r="E23" i="32" s="1"/>
  <c r="G23" i="32" s="1"/>
  <c r="AG29" i="27"/>
  <c r="E28" i="32" s="1"/>
  <c r="G28" i="32" s="1"/>
  <c r="AG8" i="27"/>
  <c r="E7" i="32" s="1"/>
  <c r="G7" i="32" s="1"/>
  <c r="AG18" i="27"/>
  <c r="E17" i="32" s="1"/>
  <c r="G17" i="32" s="1"/>
  <c r="AG16" i="27"/>
  <c r="E15" i="32" s="1"/>
  <c r="G15" i="32" s="1"/>
  <c r="AG26" i="27"/>
  <c r="AI26" i="27" s="1"/>
  <c r="AG7" i="27"/>
  <c r="AI7" i="27" s="1"/>
  <c r="AG27" i="27"/>
  <c r="E26" i="32" s="1"/>
  <c r="G26" i="32" s="1"/>
  <c r="AG9" i="27"/>
  <c r="E8" i="32" s="1"/>
  <c r="G8" i="32" s="1"/>
  <c r="AG17" i="27"/>
  <c r="E16" i="32" s="1"/>
  <c r="G16" i="32" s="1"/>
  <c r="AG33" i="27"/>
  <c r="E32" i="32" s="1"/>
  <c r="G32" i="32" s="1"/>
  <c r="AG12" i="27"/>
  <c r="E11" i="32" s="1"/>
  <c r="G11" i="32" s="1"/>
  <c r="AG11" i="27"/>
  <c r="AI11" i="27" s="1"/>
  <c r="AG19" i="27"/>
  <c r="AI19" i="27" s="1"/>
  <c r="AI23" i="27"/>
  <c r="AJ23" i="27" s="1"/>
  <c r="E22" i="32"/>
  <c r="G22" i="32" s="1"/>
  <c r="AI25" i="27"/>
  <c r="AJ25" i="27" s="1"/>
  <c r="E24" i="32"/>
  <c r="G24" i="32" s="1"/>
  <c r="AI20" i="27"/>
  <c r="AJ20" i="27" s="1"/>
  <c r="E19" i="32"/>
  <c r="G19" i="32" s="1"/>
  <c r="AI5" i="27"/>
  <c r="AJ5" i="27" s="1"/>
  <c r="E4" i="32"/>
  <c r="G4" i="32" s="1"/>
  <c r="AI6" i="27"/>
  <c r="AJ6" i="27" s="1"/>
  <c r="E5" i="32"/>
  <c r="G5" i="32" s="1"/>
  <c r="AI38" i="27"/>
  <c r="AJ38" i="27" s="1"/>
  <c r="E37" i="32"/>
  <c r="G37" i="32" s="1"/>
  <c r="AI36" i="27"/>
  <c r="AJ36" i="27" s="1"/>
  <c r="E35" i="32"/>
  <c r="G35" i="32" s="1"/>
  <c r="AI32" i="27"/>
  <c r="AJ32" i="27" s="1"/>
  <c r="E31" i="32"/>
  <c r="G31" i="32" s="1"/>
  <c r="AI31" i="27"/>
  <c r="AJ31" i="27" s="1"/>
  <c r="E30" i="32"/>
  <c r="G30" i="32" s="1"/>
  <c r="AI21" i="27"/>
  <c r="AJ21" i="27" s="1"/>
  <c r="E20" i="32"/>
  <c r="G20" i="32" s="1"/>
  <c r="AI30" i="27"/>
  <c r="AJ30" i="27" s="1"/>
  <c r="E29" i="32"/>
  <c r="G29" i="32" s="1"/>
  <c r="AI14" i="27"/>
  <c r="AJ14" i="27" s="1"/>
  <c r="E13" i="32"/>
  <c r="G13" i="32" s="1"/>
  <c r="AI13" i="27"/>
  <c r="AJ13" i="27" s="1"/>
  <c r="E12" i="32"/>
  <c r="G12" i="32" s="1"/>
  <c r="S10" i="7" l="1"/>
  <c r="U10" i="7" s="1"/>
  <c r="X10" i="7" s="1"/>
  <c r="AD10" i="7"/>
  <c r="AD13" i="7"/>
  <c r="S21" i="7"/>
  <c r="U21" i="7" s="1"/>
  <c r="S28" i="7"/>
  <c r="U28" i="7" s="1"/>
  <c r="X28" i="7" s="1"/>
  <c r="K30" i="28" s="1"/>
  <c r="S26" i="7"/>
  <c r="U26" i="7" s="1"/>
  <c r="X26" i="7" s="1"/>
  <c r="AD36" i="7"/>
  <c r="AD37" i="7"/>
  <c r="S9" i="7"/>
  <c r="U9" i="7" s="1"/>
  <c r="X9" i="7" s="1"/>
  <c r="K11" i="28" s="1"/>
  <c r="AD35" i="7"/>
  <c r="AD30" i="7"/>
  <c r="AD24" i="7"/>
  <c r="AD23" i="7"/>
  <c r="AD38" i="7"/>
  <c r="S33" i="7"/>
  <c r="U33" i="7" s="1"/>
  <c r="AC33" i="7" s="1"/>
  <c r="AD6" i="7"/>
  <c r="S29" i="7"/>
  <c r="U29" i="7" s="1"/>
  <c r="X29" i="7" s="1"/>
  <c r="K31" i="28" s="1"/>
  <c r="S8" i="7"/>
  <c r="U8" i="7" s="1"/>
  <c r="X8" i="7" s="1"/>
  <c r="AD25" i="7"/>
  <c r="S74" i="7"/>
  <c r="U74" i="7" s="1"/>
  <c r="X74" i="7" s="1"/>
  <c r="X51" i="7"/>
  <c r="S7" i="7"/>
  <c r="U7" i="7" s="1"/>
  <c r="X7" i="7" s="1"/>
  <c r="AC54" i="7"/>
  <c r="S5" i="7"/>
  <c r="U5" i="7" s="1"/>
  <c r="X5" i="7" s="1"/>
  <c r="K7" i="28" s="1"/>
  <c r="S16" i="7"/>
  <c r="U16" i="7" s="1"/>
  <c r="X16" i="7" s="1"/>
  <c r="S69" i="7"/>
  <c r="U69" i="7" s="1"/>
  <c r="AC69" i="7" s="1"/>
  <c r="S32" i="7"/>
  <c r="U32" i="7" s="1"/>
  <c r="X50" i="7"/>
  <c r="S73" i="7"/>
  <c r="U73" i="7" s="1"/>
  <c r="X73" i="7" s="1"/>
  <c r="AD18" i="7"/>
  <c r="AD31" i="7"/>
  <c r="AD34" i="7"/>
  <c r="AD27" i="7"/>
  <c r="S3" i="7"/>
  <c r="S17" i="7"/>
  <c r="U17" i="7" s="1"/>
  <c r="S11" i="7"/>
  <c r="U11" i="7" s="1"/>
  <c r="X11" i="7" s="1"/>
  <c r="S4" i="7"/>
  <c r="U4" i="7" s="1"/>
  <c r="X4" i="7" s="1"/>
  <c r="K6" i="28" s="1"/>
  <c r="S19" i="7"/>
  <c r="U19" i="7" s="1"/>
  <c r="X19" i="7" s="1"/>
  <c r="K21" i="28" s="1"/>
  <c r="S68" i="7"/>
  <c r="U68" i="7" s="1"/>
  <c r="S22" i="7"/>
  <c r="U22" i="7" s="1"/>
  <c r="AD12" i="7"/>
  <c r="V56" i="7"/>
  <c r="X49" i="7"/>
  <c r="AC37" i="7"/>
  <c r="V37" i="7"/>
  <c r="X37" i="7"/>
  <c r="K39" i="28" s="1"/>
  <c r="AC38" i="7"/>
  <c r="V38" i="7"/>
  <c r="X38" i="7"/>
  <c r="K40" i="28" s="1"/>
  <c r="V49" i="7"/>
  <c r="AC45" i="7"/>
  <c r="V45" i="7"/>
  <c r="V53" i="7"/>
  <c r="X53" i="7"/>
  <c r="AC61" i="7"/>
  <c r="X61" i="7"/>
  <c r="V54" i="7"/>
  <c r="AC39" i="7"/>
  <c r="X39" i="7"/>
  <c r="V43" i="7"/>
  <c r="X43" i="7"/>
  <c r="AC48" i="7"/>
  <c r="X65" i="7"/>
  <c r="X44" i="7"/>
  <c r="V44" i="7"/>
  <c r="V65" i="7"/>
  <c r="X60" i="7"/>
  <c r="AC40" i="7"/>
  <c r="AC58" i="7"/>
  <c r="X58" i="7"/>
  <c r="AC60" i="7"/>
  <c r="AI22" i="27"/>
  <c r="AJ22" i="27" s="1"/>
  <c r="V40" i="7"/>
  <c r="V48" i="7"/>
  <c r="X41" i="7"/>
  <c r="V41" i="7"/>
  <c r="AC41" i="7"/>
  <c r="X47" i="7"/>
  <c r="V47" i="7"/>
  <c r="AC47" i="7"/>
  <c r="V55" i="7"/>
  <c r="AC55" i="7"/>
  <c r="X55" i="7"/>
  <c r="AC62" i="7"/>
  <c r="V62" i="7"/>
  <c r="X62" i="7"/>
  <c r="AC57" i="7"/>
  <c r="V57" i="7"/>
  <c r="X57" i="7"/>
  <c r="AC70" i="7"/>
  <c r="X70" i="7"/>
  <c r="V70" i="7"/>
  <c r="V46" i="7"/>
  <c r="AC46" i="7"/>
  <c r="X46" i="7"/>
  <c r="AI12" i="27"/>
  <c r="AJ12" i="27" s="1"/>
  <c r="AC66" i="7"/>
  <c r="X66" i="7"/>
  <c r="V66" i="7"/>
  <c r="V52" i="7"/>
  <c r="X52" i="7"/>
  <c r="AC52" i="7"/>
  <c r="AI18" i="27"/>
  <c r="AJ18" i="27" s="1"/>
  <c r="AI16" i="27"/>
  <c r="AJ16" i="27" s="1"/>
  <c r="AI27" i="27"/>
  <c r="AJ27" i="27" s="1"/>
  <c r="AI24" i="27"/>
  <c r="AJ24" i="27" s="1"/>
  <c r="AI17" i="27"/>
  <c r="AJ17" i="27" s="1"/>
  <c r="AI33" i="27"/>
  <c r="AJ33" i="27" s="1"/>
  <c r="AI8" i="27"/>
  <c r="AJ8" i="27" s="1"/>
  <c r="AI10" i="27"/>
  <c r="AJ10" i="27" s="1"/>
  <c r="AI29" i="27"/>
  <c r="AJ29" i="27" s="1"/>
  <c r="AI9" i="27"/>
  <c r="AJ9" i="27" s="1"/>
  <c r="AJ11" i="27"/>
  <c r="AJ7" i="27"/>
  <c r="AJ28" i="27"/>
  <c r="E10" i="32"/>
  <c r="G10" i="32" s="1"/>
  <c r="E6" i="32"/>
  <c r="G6" i="32" s="1"/>
  <c r="E36" i="32"/>
  <c r="G36" i="32" s="1"/>
  <c r="E27" i="32"/>
  <c r="G27" i="32" s="1"/>
  <c r="AJ19" i="27"/>
  <c r="AJ26" i="27"/>
  <c r="AJ15" i="27"/>
  <c r="AI37" i="27"/>
  <c r="AJ37" i="27" s="1"/>
  <c r="E18" i="32"/>
  <c r="G18" i="32" s="1"/>
  <c r="E25" i="32"/>
  <c r="G25" i="32" s="1"/>
  <c r="E14" i="32"/>
  <c r="G14" i="32" s="1"/>
  <c r="U20" i="7"/>
  <c r="X20" i="7" s="1"/>
  <c r="K22" i="28" s="1"/>
  <c r="U23" i="7"/>
  <c r="X23" i="7" s="1"/>
  <c r="K25" i="28" s="1"/>
  <c r="U24" i="7"/>
  <c r="U25" i="7"/>
  <c r="X25" i="7" s="1"/>
  <c r="U27" i="7"/>
  <c r="X27" i="7" s="1"/>
  <c r="K29" i="28" s="1"/>
  <c r="U18" i="7"/>
  <c r="X18" i="7" s="1"/>
  <c r="K20" i="28" s="1"/>
  <c r="U6" i="7"/>
  <c r="U15" i="7"/>
  <c r="X15" i="7" s="1"/>
  <c r="K17" i="28" s="1"/>
  <c r="U31" i="7"/>
  <c r="X31" i="7" s="1"/>
  <c r="K33" i="28" s="1"/>
  <c r="U14" i="7"/>
  <c r="X14" i="7" s="1"/>
  <c r="K16" i="28" s="1"/>
  <c r="U13" i="7"/>
  <c r="X13" i="7" s="1"/>
  <c r="K15" i="28" s="1"/>
  <c r="U35" i="7"/>
  <c r="X35" i="7" s="1"/>
  <c r="K37" i="28" s="1"/>
  <c r="U30" i="7"/>
  <c r="X30" i="7" s="1"/>
  <c r="K32" i="28" s="1"/>
  <c r="U12" i="7"/>
  <c r="X12" i="7" s="1"/>
  <c r="K14" i="28" s="1"/>
  <c r="U34" i="7"/>
  <c r="X34" i="7" s="1"/>
  <c r="K36" i="28" s="1"/>
  <c r="K9" i="28" l="1"/>
  <c r="K28" i="28"/>
  <c r="K13" i="28"/>
  <c r="K27" i="28"/>
  <c r="K10" i="28"/>
  <c r="K18" i="28"/>
  <c r="K12" i="28"/>
  <c r="V33" i="7"/>
  <c r="X33" i="7"/>
  <c r="K35" i="28" s="1"/>
  <c r="X32" i="7"/>
  <c r="AC32" i="7"/>
  <c r="V73" i="7"/>
  <c r="J37" i="24" s="1"/>
  <c r="AC74" i="7"/>
  <c r="V74" i="7"/>
  <c r="J38" i="24" s="1"/>
  <c r="X69" i="7"/>
  <c r="V32" i="7"/>
  <c r="J34" i="28" s="1"/>
  <c r="V69" i="7"/>
  <c r="AC73" i="7"/>
  <c r="K37" i="24"/>
  <c r="AC68" i="7"/>
  <c r="V68" i="7"/>
  <c r="X68" i="7"/>
  <c r="K38" i="24"/>
  <c r="X22" i="7"/>
  <c r="K24" i="28" s="1"/>
  <c r="AC22" i="7"/>
  <c r="X21" i="7"/>
  <c r="K23" i="28" s="1"/>
  <c r="AC21" i="7"/>
  <c r="X6" i="7"/>
  <c r="AC6" i="7"/>
  <c r="X17" i="7"/>
  <c r="K19" i="28" s="1"/>
  <c r="AC17" i="7"/>
  <c r="X24" i="7"/>
  <c r="K26" i="28" s="1"/>
  <c r="AC24" i="7"/>
  <c r="V22" i="7"/>
  <c r="J24" i="28" s="1"/>
  <c r="V30" i="7"/>
  <c r="J32" i="28" s="1"/>
  <c r="V9" i="7"/>
  <c r="J11" i="28" s="1"/>
  <c r="V10" i="7"/>
  <c r="J12" i="28" s="1"/>
  <c r="V14" i="7"/>
  <c r="J16" i="28" s="1"/>
  <c r="V11" i="7"/>
  <c r="J13" i="28" s="1"/>
  <c r="V24" i="7"/>
  <c r="V16" i="7"/>
  <c r="J18" i="28" s="1"/>
  <c r="V7" i="7"/>
  <c r="J9" i="28" s="1"/>
  <c r="K7" i="24"/>
  <c r="V13" i="7"/>
  <c r="J15" i="28" s="1"/>
  <c r="V31" i="7"/>
  <c r="J33" i="28" s="1"/>
  <c r="V18" i="7"/>
  <c r="J20" i="28" s="1"/>
  <c r="AC28" i="7"/>
  <c r="V28" i="7"/>
  <c r="J30" i="28" s="1"/>
  <c r="V5" i="7"/>
  <c r="J7" i="28" s="1"/>
  <c r="V12" i="7"/>
  <c r="J14" i="28" s="1"/>
  <c r="V29" i="7"/>
  <c r="J31" i="28" s="1"/>
  <c r="V27" i="7"/>
  <c r="J29" i="28" s="1"/>
  <c r="V20" i="7"/>
  <c r="J22" i="28" s="1"/>
  <c r="V19" i="7"/>
  <c r="J21" i="28" s="1"/>
  <c r="V26" i="7"/>
  <c r="J28" i="28" s="1"/>
  <c r="V15" i="7"/>
  <c r="V4" i="7"/>
  <c r="J6" i="28" s="1"/>
  <c r="V17" i="7"/>
  <c r="J19" i="28" s="1"/>
  <c r="V21" i="7"/>
  <c r="J23" i="28" s="1"/>
  <c r="V34" i="7"/>
  <c r="J36" i="28" s="1"/>
  <c r="V35" i="7"/>
  <c r="J37" i="28" s="1"/>
  <c r="V8" i="7"/>
  <c r="J10" i="28" s="1"/>
  <c r="V6" i="7"/>
  <c r="J8" i="28" s="1"/>
  <c r="V25" i="7"/>
  <c r="J27" i="28" s="1"/>
  <c r="V23" i="7"/>
  <c r="J25" i="28" s="1"/>
  <c r="AC8" i="7"/>
  <c r="AC23" i="7"/>
  <c r="K30" i="24"/>
  <c r="K26" i="24"/>
  <c r="K14" i="24"/>
  <c r="AC16" i="7"/>
  <c r="AC5" i="7"/>
  <c r="AC26" i="7"/>
  <c r="AC7" i="7"/>
  <c r="AC19" i="7"/>
  <c r="AC4" i="7"/>
  <c r="AC13" i="7"/>
  <c r="AC10" i="7"/>
  <c r="AC31" i="7"/>
  <c r="AC18" i="7"/>
  <c r="AC12" i="7"/>
  <c r="AC29" i="7"/>
  <c r="AC27" i="7"/>
  <c r="AC30" i="7"/>
  <c r="AC25" i="7"/>
  <c r="AC11" i="7"/>
  <c r="AC34" i="7"/>
  <c r="AC35" i="7"/>
  <c r="AC9" i="7"/>
  <c r="K8" i="24"/>
  <c r="D9" i="27"/>
  <c r="D10" i="27"/>
  <c r="D11" i="27"/>
  <c r="D12" i="27"/>
  <c r="D13" i="27"/>
  <c r="D14" i="27"/>
  <c r="D15" i="27"/>
  <c r="D20" i="27"/>
  <c r="D21" i="27"/>
  <c r="D27" i="27"/>
  <c r="D28" i="27"/>
  <c r="D29" i="27"/>
  <c r="D30" i="27"/>
  <c r="D31" i="27"/>
  <c r="D32" i="27"/>
  <c r="D33" i="27"/>
  <c r="D36" i="27"/>
  <c r="D37" i="27"/>
  <c r="D38" i="27"/>
  <c r="K34" i="28" l="1"/>
  <c r="J39" i="28"/>
  <c r="J35" i="28"/>
  <c r="J40" i="28"/>
  <c r="K6" i="24"/>
  <c r="K8" i="28"/>
  <c r="E80" i="28"/>
  <c r="E56" i="28"/>
  <c r="E77" i="28"/>
  <c r="E74" i="28"/>
  <c r="J17" i="28"/>
  <c r="E71" i="28"/>
  <c r="E68" i="28"/>
  <c r="E65" i="28"/>
  <c r="E62" i="28"/>
  <c r="E83" i="28"/>
  <c r="E59" i="28"/>
  <c r="G78" i="28"/>
  <c r="G66" i="28"/>
  <c r="J26" i="28"/>
  <c r="J29" i="24"/>
  <c r="J11" i="24"/>
  <c r="J30" i="24"/>
  <c r="J23" i="24"/>
  <c r="J8" i="24"/>
  <c r="J22" i="24"/>
  <c r="J32" i="24"/>
  <c r="G76" i="24"/>
  <c r="J24" i="24"/>
  <c r="J14" i="24"/>
  <c r="J9" i="24"/>
  <c r="J28" i="24"/>
  <c r="J35" i="24"/>
  <c r="J34" i="24"/>
  <c r="J18" i="24"/>
  <c r="J27" i="24"/>
  <c r="J10" i="24"/>
  <c r="J25" i="24"/>
  <c r="J6" i="24"/>
  <c r="J31" i="24"/>
  <c r="J13" i="24"/>
  <c r="J26" i="24"/>
  <c r="J33" i="24"/>
  <c r="J19" i="24"/>
  <c r="J7" i="24"/>
  <c r="J12" i="24"/>
  <c r="J5" i="24"/>
  <c r="J21" i="24"/>
  <c r="J20" i="24"/>
  <c r="J17" i="24"/>
  <c r="J4" i="24"/>
  <c r="J16" i="24"/>
  <c r="J15" i="24"/>
  <c r="K32" i="24"/>
  <c r="K33" i="24"/>
  <c r="E72" i="24"/>
  <c r="E75" i="24"/>
  <c r="E78" i="24"/>
  <c r="E81" i="24"/>
  <c r="E69" i="24"/>
  <c r="E66" i="24"/>
  <c r="E57" i="24"/>
  <c r="E63" i="24"/>
  <c r="E60" i="24"/>
  <c r="E54" i="24"/>
  <c r="G64" i="24"/>
  <c r="K23" i="24"/>
  <c r="K21" i="24"/>
  <c r="K16" i="24"/>
  <c r="K5" i="24"/>
  <c r="K31" i="24"/>
  <c r="K17" i="24"/>
  <c r="K10" i="24"/>
  <c r="K28" i="24"/>
  <c r="K24" i="24"/>
  <c r="K20" i="24"/>
  <c r="K18" i="24"/>
  <c r="K19" i="24"/>
  <c r="K12" i="24"/>
  <c r="K13" i="24"/>
  <c r="K27" i="24"/>
  <c r="K22" i="24"/>
  <c r="K4" i="24"/>
  <c r="K29" i="24"/>
  <c r="K11" i="24"/>
  <c r="K25" i="24"/>
  <c r="K34" i="24"/>
  <c r="K9" i="24"/>
  <c r="K15" i="24"/>
  <c r="K35" i="24"/>
  <c r="U3" i="7"/>
  <c r="X3" i="7" s="1"/>
  <c r="K5" i="28" s="1"/>
  <c r="G85" i="28" l="1"/>
  <c r="G83" i="24"/>
  <c r="E85" i="28"/>
  <c r="E83" i="24"/>
  <c r="V3" i="7"/>
  <c r="AC3" i="7"/>
  <c r="J5" i="28" l="1"/>
  <c r="J3" i="24"/>
  <c r="K3" i="24"/>
  <c r="F97" i="26"/>
  <c r="F99" i="26" s="1"/>
  <c r="F124" i="26"/>
  <c r="F125" i="26" s="1"/>
  <c r="F126" i="26" s="1"/>
  <c r="F108" i="26" l="1"/>
  <c r="F110" i="26" l="1"/>
  <c r="F114" i="26" s="1"/>
  <c r="J15" i="26" s="1"/>
  <c r="I36" i="24"/>
  <c r="I39" i="24" s="1"/>
  <c r="U36" i="7"/>
  <c r="X36" i="7" s="1"/>
  <c r="K38" i="28" s="1"/>
  <c r="F116" i="26" l="1"/>
  <c r="X756" i="7"/>
  <c r="V36" i="7"/>
  <c r="J83" i="24"/>
  <c r="AC36" i="7"/>
  <c r="K42" i="24"/>
  <c r="K48" i="24" s="1"/>
  <c r="J38" i="28" l="1"/>
  <c r="C63" i="28"/>
  <c r="C65" i="28"/>
  <c r="C67" i="28"/>
  <c r="C61" i="28"/>
  <c r="C80" i="28"/>
  <c r="I80" i="28" s="1"/>
  <c r="C59" i="28"/>
  <c r="I59" i="28" s="1"/>
  <c r="C71" i="28"/>
  <c r="I71" i="28" s="1"/>
  <c r="C73" i="28"/>
  <c r="I73" i="28" s="1"/>
  <c r="C75" i="28"/>
  <c r="C69" i="28"/>
  <c r="C70" i="28"/>
  <c r="I70" i="28" s="1"/>
  <c r="C57" i="28"/>
  <c r="I57" i="28" s="1"/>
  <c r="C79" i="28"/>
  <c r="I79" i="28" s="1"/>
  <c r="C81" i="28"/>
  <c r="I81" i="28" s="1"/>
  <c r="C83" i="28"/>
  <c r="I83" i="28" s="1"/>
  <c r="C77" i="28"/>
  <c r="I77" i="28" s="1"/>
  <c r="C76" i="28"/>
  <c r="C78" i="28"/>
  <c r="C56" i="28"/>
  <c r="C58" i="28"/>
  <c r="I58" i="28" s="1"/>
  <c r="C60" i="28"/>
  <c r="I60" i="28" s="1"/>
  <c r="C55" i="28"/>
  <c r="I55" i="28" s="1"/>
  <c r="C72" i="28"/>
  <c r="I72" i="28" s="1"/>
  <c r="C82" i="28"/>
  <c r="I82" i="28" s="1"/>
  <c r="C64" i="28"/>
  <c r="C66" i="28"/>
  <c r="C68" i="28"/>
  <c r="I68" i="28" s="1"/>
  <c r="C62" i="28"/>
  <c r="C74" i="28"/>
  <c r="I74" i="28" s="1"/>
  <c r="C84" i="28"/>
  <c r="I84" i="28" s="1"/>
  <c r="J36" i="24"/>
  <c r="I75" i="28"/>
  <c r="I76" i="28"/>
  <c r="I78" i="28"/>
  <c r="C80" i="24"/>
  <c r="I80" i="24" s="1"/>
  <c r="C75" i="24"/>
  <c r="I75" i="24" s="1"/>
  <c r="C70" i="24"/>
  <c r="I70" i="24" s="1"/>
  <c r="C78" i="24"/>
  <c r="I78" i="24" s="1"/>
  <c r="C79" i="24"/>
  <c r="I79" i="24" s="1"/>
  <c r="C71" i="24"/>
  <c r="I71" i="24" s="1"/>
  <c r="C74" i="24"/>
  <c r="I74" i="24" s="1"/>
  <c r="C73" i="24"/>
  <c r="I73" i="24" s="1"/>
  <c r="C82" i="24"/>
  <c r="I82" i="24" s="1"/>
  <c r="C81" i="24"/>
  <c r="I81" i="24" s="1"/>
  <c r="C69" i="24"/>
  <c r="I69" i="24" s="1"/>
  <c r="C76" i="24"/>
  <c r="I76" i="24" s="1"/>
  <c r="C77" i="24"/>
  <c r="I77" i="24" s="1"/>
  <c r="C68" i="24"/>
  <c r="I68" i="24" s="1"/>
  <c r="C72" i="24"/>
  <c r="I72" i="24" s="1"/>
  <c r="C57" i="24"/>
  <c r="I57" i="24" s="1"/>
  <c r="C54" i="24"/>
  <c r="I54" i="24" s="1"/>
  <c r="C53" i="24"/>
  <c r="I53" i="24" s="1"/>
  <c r="I63" i="28"/>
  <c r="I67" i="28"/>
  <c r="I56" i="28"/>
  <c r="C67" i="24"/>
  <c r="I67" i="24" s="1"/>
  <c r="C56" i="24"/>
  <c r="I56" i="24" s="1"/>
  <c r="C60" i="24"/>
  <c r="I60" i="24" s="1"/>
  <c r="C66" i="24"/>
  <c r="I66" i="24" s="1"/>
  <c r="I64" i="28"/>
  <c r="I62" i="28"/>
  <c r="C65" i="24"/>
  <c r="I65" i="24" s="1"/>
  <c r="C59" i="24"/>
  <c r="I59" i="24" s="1"/>
  <c r="C62" i="24"/>
  <c r="I62" i="24" s="1"/>
  <c r="C64" i="24"/>
  <c r="I64" i="24" s="1"/>
  <c r="I66" i="28"/>
  <c r="I65" i="28"/>
  <c r="C55" i="24"/>
  <c r="I55" i="24" s="1"/>
  <c r="C61" i="24"/>
  <c r="I61" i="24" s="1"/>
  <c r="C63" i="24"/>
  <c r="I63" i="24" s="1"/>
  <c r="C58" i="24"/>
  <c r="I58" i="24" s="1"/>
  <c r="I69" i="28"/>
  <c r="I61" i="28"/>
  <c r="K85" i="28"/>
  <c r="K41" i="28"/>
  <c r="K36" i="24"/>
  <c r="K39" i="24" l="1"/>
  <c r="K40" i="24" s="1"/>
  <c r="I83" i="24"/>
  <c r="I84" i="24" s="1"/>
  <c r="C83" i="24"/>
  <c r="C85" i="28"/>
  <c r="I85" i="28"/>
  <c r="I86" i="28" s="1"/>
</calcChain>
</file>

<file path=xl/sharedStrings.xml><?xml version="1.0" encoding="utf-8"?>
<sst xmlns="http://schemas.openxmlformats.org/spreadsheetml/2006/main" count="5937" uniqueCount="1603">
  <si>
    <t>FICHA CADASTRAL DA EMPRESA</t>
  </si>
  <si>
    <t>Pregão Nº</t>
  </si>
  <si>
    <t>Processo nº</t>
  </si>
  <si>
    <t>Sim</t>
  </si>
  <si>
    <t>DADOS CADASTRAIS</t>
  </si>
  <si>
    <t>Não</t>
  </si>
  <si>
    <t>CNPJ</t>
  </si>
  <si>
    <t>Razão Social</t>
  </si>
  <si>
    <t>Endereço</t>
  </si>
  <si>
    <t>Bairro</t>
  </si>
  <si>
    <t>Cidade</t>
  </si>
  <si>
    <t>UF</t>
  </si>
  <si>
    <t>CEP</t>
  </si>
  <si>
    <t>Telefone</t>
  </si>
  <si>
    <t>e-mail</t>
  </si>
  <si>
    <t>REPRESENTANTE(S) DA EMPRESA</t>
  </si>
  <si>
    <t>CPF</t>
  </si>
  <si>
    <t>Nome</t>
  </si>
  <si>
    <t>Sócio Administrador?</t>
  </si>
  <si>
    <t>Signatário do Contrato?</t>
  </si>
  <si>
    <t>(sim/não)</t>
  </si>
  <si>
    <t>Local</t>
  </si>
  <si>
    <t>Data</t>
  </si>
  <si>
    <t>Assinatura</t>
  </si>
  <si>
    <t>DADOS DA EMPRESA</t>
  </si>
  <si>
    <t>Incidência cumulativa de PIS e de COFINS</t>
  </si>
  <si>
    <t>Incidência não-cumulativa de PIS e de COFINS</t>
  </si>
  <si>
    <t>Simples Nacional</t>
  </si>
  <si>
    <t>Sindicato da categoria</t>
  </si>
  <si>
    <t>SIEMACO x SEAC x SINDVERDE</t>
  </si>
  <si>
    <t>Data base da categoria</t>
  </si>
  <si>
    <t>1º Janeiro (SEAC) e 1º Março (SINDVERDE)</t>
  </si>
  <si>
    <t>Fornecimento de cesta básica aos funcionários? (sim/não)</t>
  </si>
  <si>
    <t>Regime Tributário</t>
  </si>
  <si>
    <t>SAT (RATxFAP) (%)</t>
  </si>
  <si>
    <t>Despesas Administrativas(%)</t>
  </si>
  <si>
    <t>Lucro Bruto (%)</t>
  </si>
  <si>
    <t>COFINS</t>
  </si>
  <si>
    <t>PIS</t>
  </si>
  <si>
    <t>Desoneração da folha (%)</t>
  </si>
  <si>
    <t>Vigência Contratual</t>
  </si>
  <si>
    <t>meses</t>
  </si>
  <si>
    <t>Módulo I - Encargos previdenciários e FGTS</t>
  </si>
  <si>
    <t>Percentual</t>
  </si>
  <si>
    <t>Previdência Social</t>
  </si>
  <si>
    <t>SESI/SESC</t>
  </si>
  <si>
    <t>SENAI/SENAC</t>
  </si>
  <si>
    <t>INCRA</t>
  </si>
  <si>
    <t>Salário Educação</t>
  </si>
  <si>
    <t>FGTS</t>
  </si>
  <si>
    <t>SAT (RAT X FAP)</t>
  </si>
  <si>
    <t>SEBRAE</t>
  </si>
  <si>
    <t>Total Módulo I</t>
  </si>
  <si>
    <t>Módulo II - 13º Salário e Adicional de Férias</t>
  </si>
  <si>
    <t>13º  salário</t>
  </si>
  <si>
    <t>Abono de férias</t>
  </si>
  <si>
    <t>Encargos sociais incidentes</t>
  </si>
  <si>
    <t>Total Módulo II</t>
  </si>
  <si>
    <t>Módulo III - Afastamento Maternidade</t>
  </si>
  <si>
    <t>Total Módulo III</t>
  </si>
  <si>
    <t>Módulo IV - Provisão para Rescisão</t>
  </si>
  <si>
    <t>Aviso prévio indenizado</t>
  </si>
  <si>
    <t>Incidência FGTS sobre o aviso prévio indenizado</t>
  </si>
  <si>
    <t>Multa FGTS sobre o aviso prévio indenizado</t>
  </si>
  <si>
    <t>Aviso prévio trabalhado</t>
  </si>
  <si>
    <t>Encargos sociais incidentes sobre aviso prévio trabalhado</t>
  </si>
  <si>
    <t>Multa FGTS sobre o aviso prévio trabalhado</t>
  </si>
  <si>
    <t>Indenização Adicional</t>
  </si>
  <si>
    <t>Multa FGTS sobre os depósitos de FGTS</t>
  </si>
  <si>
    <t>Total Módulo IV</t>
  </si>
  <si>
    <t>Módulo V - Multa de FGTS</t>
  </si>
  <si>
    <t>Remuneração</t>
  </si>
  <si>
    <t>Férias + Adicional de Férias</t>
  </si>
  <si>
    <t>13º Salário</t>
  </si>
  <si>
    <t>Total Módulo V</t>
  </si>
  <si>
    <t>Módulo VI - Custo de Reposição do Profissional Ausente</t>
  </si>
  <si>
    <t>Férias</t>
  </si>
  <si>
    <t>Auxílio doença</t>
  </si>
  <si>
    <t>Licença paternidade</t>
  </si>
  <si>
    <t>Faltas legais</t>
  </si>
  <si>
    <t>Acidente de trabalho</t>
  </si>
  <si>
    <t>Total Módulo VI</t>
  </si>
  <si>
    <t>Total dos Encargos Sociais e Trabalhistas</t>
  </si>
  <si>
    <t>PERCENTUAIS DE CONTINGENCIAMENTO MENSAL DE ENCARGOS TRABALHISTAS</t>
  </si>
  <si>
    <t>Abono de Férias</t>
  </si>
  <si>
    <t>Incidência de encargos trabalhistas: percentual total do Módulo I s/ os itens 1, 2 e 3</t>
  </si>
  <si>
    <t>Multa FGTS</t>
  </si>
  <si>
    <t>Percentual a ser contingenciado - Resolução CNJ nº 169/2013</t>
  </si>
  <si>
    <t>PARÂMETROS DE CÁLCULO</t>
  </si>
  <si>
    <t>Dias Estimados por Mês - Trabalho de Segunda a Sexta</t>
  </si>
  <si>
    <t>Dias Estimados por Mês - Trabalho de Segunda a Sábado</t>
  </si>
  <si>
    <t>Dias Estimados por Mês - Trabalho de Plantonista em Domingos e Feriados</t>
  </si>
  <si>
    <t>Dias Estimados por Mês - Trabalho de Plantonista aos Sábados</t>
  </si>
  <si>
    <t>Adicional de Periculosidade</t>
  </si>
  <si>
    <t>Adicional Noturno</t>
  </si>
  <si>
    <t>Adicional de Insalubridade - Jardineiro e Auxiliar Área Médica</t>
  </si>
  <si>
    <t>Adicional de Insalubridade - Agente de Higienização</t>
  </si>
  <si>
    <t>Adicional de Acúmulo de Função</t>
  </si>
  <si>
    <t>Valor do Salário Mínimo Federal - R$</t>
  </si>
  <si>
    <t>Código</t>
  </si>
  <si>
    <t>VALORES REFERENCIAIS - R$ por M² (sem BDI)</t>
  </si>
  <si>
    <t>Serviço de Jardinagem -  m²</t>
  </si>
  <si>
    <r>
      <t>Serviço de limpeza de vidros -</t>
    </r>
    <r>
      <rPr>
        <b/>
        <sz val="9"/>
        <color theme="1"/>
        <rFont val="Calibri"/>
        <family val="2"/>
      </rPr>
      <t xml:space="preserve"> Com</t>
    </r>
    <r>
      <rPr>
        <sz val="9"/>
        <color theme="1"/>
        <rFont val="Calibri"/>
        <family val="2"/>
        <scheme val="minor"/>
      </rPr>
      <t xml:space="preserve"> exposição à situação de risco - m²</t>
    </r>
  </si>
  <si>
    <r>
      <t xml:space="preserve">Serviço de limpeza de vidros - </t>
    </r>
    <r>
      <rPr>
        <b/>
        <sz val="9"/>
        <color theme="1"/>
        <rFont val="Calibri"/>
        <family val="2"/>
      </rPr>
      <t>Sem</t>
    </r>
    <r>
      <rPr>
        <sz val="9"/>
        <color theme="1"/>
        <rFont val="Calibri"/>
        <family val="2"/>
        <scheme val="minor"/>
      </rPr>
      <t xml:space="preserve"> exposição à situação de risco - m²</t>
    </r>
  </si>
  <si>
    <t>VALORES REFERENCIAIS - CONVENÇÃO COLETIVA DA CATEGORIA</t>
  </si>
  <si>
    <t>Grupo</t>
  </si>
  <si>
    <t>Descrição</t>
  </si>
  <si>
    <t>Salário Base</t>
  </si>
  <si>
    <t>Ad. Peric.</t>
  </si>
  <si>
    <t>Ad. Noturno + Hr. Reduzida</t>
  </si>
  <si>
    <t>Ad. Insalubr.</t>
  </si>
  <si>
    <t>Ad. Acum. Função</t>
  </si>
  <si>
    <t>Auxiliar de Limpeza - 44 horas Semanais</t>
  </si>
  <si>
    <t>Auxiliar de Limpeza - 24 horas Semanais</t>
  </si>
  <si>
    <t>Auxiliar de Limpeza - 44 horas Semanais - Área Médica</t>
  </si>
  <si>
    <t>Agente de Higienização - 44 horas semanais</t>
  </si>
  <si>
    <t>Agente de Higienização - 24 horas semanais</t>
  </si>
  <si>
    <t>Líder de Limpeza (até 10 subordinados) - 44 horas Semanais</t>
  </si>
  <si>
    <t>Encarregado de Limpeza (11 ou mais subordinados) - 44 horas Semanais</t>
  </si>
  <si>
    <t>Supervisor de Limpeza - 44 horas Semanais (funções administrativas)</t>
  </si>
  <si>
    <t>Limpador de Vidros - 44 horas Semanais</t>
  </si>
  <si>
    <t>Limpador de Vidros - 24 horas Semanais</t>
  </si>
  <si>
    <t>Jardineiro - 44 horas Semanais</t>
  </si>
  <si>
    <t>Jardineiro - 24 horas Semanais</t>
  </si>
  <si>
    <t>Copeiro - 44 horas Semanais</t>
  </si>
  <si>
    <t>Copeiro - 24 horas Semanais</t>
  </si>
  <si>
    <t>BENEFÍCIOS - Convenção Coletiva de Trabalho</t>
  </si>
  <si>
    <t>Base</t>
  </si>
  <si>
    <t>Funções de Limpeza</t>
  </si>
  <si>
    <t>Jardineiro(a)</t>
  </si>
  <si>
    <t>Valor</t>
  </si>
  <si>
    <t>Parte do Empregado</t>
  </si>
  <si>
    <t>Valor Final</t>
  </si>
  <si>
    <t>Assistência médica</t>
  </si>
  <si>
    <t>Valor Mensal</t>
  </si>
  <si>
    <t>Auxílio Creche</t>
  </si>
  <si>
    <t>Benefício Social Sindical</t>
  </si>
  <si>
    <t xml:space="preserve">Cesta básica </t>
  </si>
  <si>
    <t>Dia do Trabalhador</t>
  </si>
  <si>
    <t>Norma Regulamentadora Nº 07</t>
  </si>
  <si>
    <t>Seguro de vida</t>
  </si>
  <si>
    <t>Vale refeição /ticket refeição *</t>
  </si>
  <si>
    <t>Valor diário</t>
  </si>
  <si>
    <t>Outros (Especificar aqui)/ Inserir valor DIÁRIO</t>
  </si>
  <si>
    <t>Outros (Especificar aqui)/ Inserir valor MENSAL</t>
  </si>
  <si>
    <t>* Conforme Nota Técnica do CADTERC e CCT, não haverá pagamento de ticket refeição para as jornadas de 24 horas semanais.</t>
  </si>
  <si>
    <t>VALORES REFERENCIAIS MENSAIS - UNIFORMES, EPIs e MATERIAIS</t>
  </si>
  <si>
    <t>Uniformes e EPI´s</t>
  </si>
  <si>
    <t>Materiais e Equipamentos %</t>
  </si>
  <si>
    <t>LOCAIS DE PRESTAÇÃO DOS SERVIÇOS</t>
  </si>
  <si>
    <t>Agrupador</t>
  </si>
  <si>
    <t>Código do Imóvel</t>
  </si>
  <si>
    <t>Descrição do Local</t>
  </si>
  <si>
    <t>ISSQN</t>
  </si>
  <si>
    <t>BDI *</t>
  </si>
  <si>
    <t>Vale Transporte - (Ida e Volta)</t>
  </si>
  <si>
    <t>Mês de Início da Prestação de Serviços</t>
  </si>
  <si>
    <t>*Fórmula BDI sem desoneração = (1+taxa_adm) x (1+taxa_lucro) / (1-%PIS-%COFINS-%ISS) -1</t>
  </si>
  <si>
    <t>Fórmula BDI com desoneração = (1+taxa_adm) x (1+taxa_lucro) / (1-%PIS-%COFINS-%ISS-%Desoneração) -1</t>
  </si>
  <si>
    <t>Código Local</t>
  </si>
  <si>
    <t>Descrição Local</t>
  </si>
  <si>
    <t>Comarca</t>
  </si>
  <si>
    <t>Função</t>
  </si>
  <si>
    <t>Unidade</t>
  </si>
  <si>
    <t>Periodicidade</t>
  </si>
  <si>
    <t>Dias Úteis Estimados</t>
  </si>
  <si>
    <t>Horas</t>
  </si>
  <si>
    <t>Quantidade - Horas/Posto/M2</t>
  </si>
  <si>
    <t>Valor M2</t>
  </si>
  <si>
    <t>REMUNERAÇÃO</t>
  </si>
  <si>
    <t>Encargos Sociais e Trabalhistas</t>
  </si>
  <si>
    <t>Benefícios</t>
  </si>
  <si>
    <t>Vale Transporte</t>
  </si>
  <si>
    <t>Materiais</t>
  </si>
  <si>
    <t>Valor Total Mensal Unitário</t>
  </si>
  <si>
    <t>BDI</t>
  </si>
  <si>
    <t xml:space="preserve">Valor Total Unitário com BDI
</t>
  </si>
  <si>
    <t xml:space="preserve">Valor Total Mensal
</t>
  </si>
  <si>
    <t xml:space="preserve">Mês de inicio da Prestação do Serviço
</t>
  </si>
  <si>
    <t xml:space="preserve">Valor Total período contratual
</t>
  </si>
  <si>
    <t>Valor Total Mensal Remuneração</t>
  </si>
  <si>
    <t xml:space="preserve">Valor Mensal a Contigenciar </t>
  </si>
  <si>
    <t xml:space="preserve">Desconto - Falta sem reposição (por funcionário)
</t>
  </si>
  <si>
    <t xml:space="preserve">Desconto - Dia útil não trabalhado (por funcionário)
</t>
  </si>
  <si>
    <t xml:space="preserve">Desconto Mensal - Benefício Assiduidade (por funcionário)
</t>
  </si>
  <si>
    <t>Fórmulas</t>
  </si>
  <si>
    <t>1. Desconto por ausência - posto mensal</t>
  </si>
  <si>
    <t>5. Cálculo para o serviço de limpeza/encarregado - plantonista - domingos e feriados</t>
  </si>
  <si>
    <r>
      <rPr>
        <b/>
        <sz val="9"/>
        <color theme="1"/>
        <rFont val="Calibri"/>
        <family val="2"/>
        <scheme val="minor"/>
      </rPr>
      <t>Valor do desconto =</t>
    </r>
    <r>
      <rPr>
        <sz val="9"/>
        <color theme="1"/>
        <rFont val="Calibri"/>
        <family val="2"/>
        <scheme val="minor"/>
      </rPr>
      <t xml:space="preserve"> (valor unitário mensal) / dias úteis (estimados por mês de acordo com a função estabelecida na tabela de remuneração)</t>
    </r>
  </si>
  <si>
    <r>
      <rPr>
        <b/>
        <sz val="9"/>
        <color theme="1"/>
        <rFont val="Calibri"/>
        <family val="2"/>
        <scheme val="minor"/>
      </rPr>
      <t>[Valor da Hora]</t>
    </r>
    <r>
      <rPr>
        <sz val="9"/>
        <color theme="1"/>
        <rFont val="Calibri"/>
        <family val="2"/>
        <scheme val="minor"/>
      </rPr>
      <t xml:space="preserve">=(Valor do Salário Base) / 220 * (1+100%) </t>
    </r>
  </si>
  <si>
    <r>
      <rPr>
        <b/>
        <sz val="9"/>
        <color theme="1"/>
        <rFont val="Calibri"/>
        <family val="2"/>
        <scheme val="minor"/>
      </rPr>
      <t>[Valor dos encargos trabalhistas]</t>
    </r>
    <r>
      <rPr>
        <sz val="9"/>
        <color theme="1"/>
        <rFont val="Calibri"/>
        <family val="2"/>
        <scheme val="minor"/>
      </rPr>
      <t>=(Valor da Hora)*%Encargos Trabalhistas</t>
    </r>
  </si>
  <si>
    <t>2. Desconto por ausência - plantão mensal</t>
  </si>
  <si>
    <r>
      <rPr>
        <b/>
        <sz val="9"/>
        <color theme="1"/>
        <rFont val="Calibri"/>
        <family val="2"/>
        <scheme val="minor"/>
      </rPr>
      <t>[Vale Refeição]</t>
    </r>
    <r>
      <rPr>
        <sz val="9"/>
        <color theme="1"/>
        <rFont val="Calibri"/>
        <family val="2"/>
        <scheme val="minor"/>
      </rPr>
      <t>=[(Valor do Vale Refeição)-(Dedução do funcionário)] * 6 (nº de domingos e feriados estimados no mês)</t>
    </r>
  </si>
  <si>
    <r>
      <rPr>
        <b/>
        <sz val="9"/>
        <color theme="1"/>
        <rFont val="Calibri"/>
        <family val="2"/>
        <scheme val="minor"/>
      </rPr>
      <t>Valor do desconto =</t>
    </r>
    <r>
      <rPr>
        <sz val="9"/>
        <color theme="1"/>
        <rFont val="Calibri"/>
        <family val="2"/>
        <scheme val="minor"/>
      </rPr>
      <t xml:space="preserve"> (valor unitário mensal) / (dias estimados por mês) </t>
    </r>
  </si>
  <si>
    <r>
      <rPr>
        <b/>
        <sz val="9"/>
        <color theme="1"/>
        <rFont val="Calibri"/>
        <family val="2"/>
        <scheme val="minor"/>
      </rPr>
      <t>[Vale Transporte]</t>
    </r>
    <r>
      <rPr>
        <sz val="9"/>
        <color theme="1"/>
        <rFont val="Calibri"/>
        <family val="2"/>
        <scheme val="minor"/>
      </rPr>
      <t>=(Valor do Vale Transporte ida e volta) *6 (nº de domingos e feriados estimados no mês)</t>
    </r>
  </si>
  <si>
    <r>
      <rPr>
        <b/>
        <sz val="9"/>
        <color theme="1"/>
        <rFont val="Calibri"/>
        <family val="2"/>
        <scheme val="minor"/>
      </rPr>
      <t>[Valor do BDI]</t>
    </r>
    <r>
      <rPr>
        <sz val="9"/>
        <color theme="1"/>
        <rFont val="Calibri"/>
        <family val="2"/>
        <scheme val="minor"/>
      </rPr>
      <t>=[(Valor da Hora)+(Valor dos encargos trabalhistas)+(Vale Refeição)+(Vale Transporte)] * % do BDI</t>
    </r>
  </si>
  <si>
    <t>3. Desconto dia útil não trabalhado</t>
  </si>
  <si>
    <r>
      <rPr>
        <b/>
        <sz val="9"/>
        <color theme="1"/>
        <rFont val="Calibri"/>
        <family val="2"/>
        <scheme val="minor"/>
      </rPr>
      <t>[Valor Unitário p/ jornada de 5 horas]</t>
    </r>
    <r>
      <rPr>
        <sz val="9"/>
        <color theme="1"/>
        <rFont val="Calibri"/>
        <family val="2"/>
        <scheme val="minor"/>
      </rPr>
      <t xml:space="preserve"> = [(Valor da Hora)*5*6]+(Valor dos encargos trabalhistas)+(Vale Refeição)+(Vale Transporte) + (Valor do BDI)</t>
    </r>
  </si>
  <si>
    <t xml:space="preserve">Valor do desconto A = </t>
  </si>
  <si>
    <t>(Valor do vale alimentação - valor da dedução) / dias úteis</t>
  </si>
  <si>
    <t>{[(Valor do vale transporte - ida e volta)* dias úteis] - [(Valor do salário base * 6%)] }/ dias úteis +</t>
  </si>
  <si>
    <t>6. Cálculo para o serviço de limpeza/encarregado - plantonista - sábados ou domingos</t>
  </si>
  <si>
    <t>(Valor dos materiais e sua depreciação) / dias úteis +</t>
  </si>
  <si>
    <r>
      <rPr>
        <b/>
        <sz val="9"/>
        <color theme="1"/>
        <rFont val="Calibri"/>
        <family val="2"/>
        <scheme val="minor"/>
      </rPr>
      <t>[Valor da Hora]</t>
    </r>
    <r>
      <rPr>
        <sz val="9"/>
        <color theme="1"/>
        <rFont val="Calibri"/>
        <family val="2"/>
        <scheme val="minor"/>
      </rPr>
      <t xml:space="preserve">=(Valor do Salário Base) / 220 * (1+50%) </t>
    </r>
  </si>
  <si>
    <t xml:space="preserve">(Valor da Remuneração) * (% Custo de reposição por ausências legais) </t>
  </si>
  <si>
    <t xml:space="preserve">Valor do desconto B = </t>
  </si>
  <si>
    <t>(Valor do desconto A) * (% do BDI)</t>
  </si>
  <si>
    <r>
      <rPr>
        <b/>
        <sz val="9"/>
        <color theme="1"/>
        <rFont val="Calibri"/>
        <family val="2"/>
        <scheme val="minor"/>
      </rPr>
      <t>[Vale Refeição]</t>
    </r>
    <r>
      <rPr>
        <sz val="9"/>
        <color theme="1"/>
        <rFont val="Calibri"/>
        <family val="2"/>
        <scheme val="minor"/>
      </rPr>
      <t>=[(Valor do Vale Refeição)-(Dedução do funcionário)] * 5 (nº de sábados estimados no mês)</t>
    </r>
  </si>
  <si>
    <t>Valor Total do desconto =</t>
  </si>
  <si>
    <t>(Valor do desconto A) +(Valor do desconto B)</t>
  </si>
  <si>
    <r>
      <rPr>
        <b/>
        <sz val="9"/>
        <color theme="1"/>
        <rFont val="Calibri"/>
        <family val="2"/>
        <scheme val="minor"/>
      </rPr>
      <t>[Vale Transporte]</t>
    </r>
    <r>
      <rPr>
        <sz val="9"/>
        <color theme="1"/>
        <rFont val="Calibri"/>
        <family val="2"/>
        <scheme val="minor"/>
      </rPr>
      <t>=(Valor do Vale Transporte ida e volta) *5 (nº de sábados estimados no mês)</t>
    </r>
  </si>
  <si>
    <r>
      <rPr>
        <b/>
        <sz val="9"/>
        <color theme="1"/>
        <rFont val="Calibri"/>
        <family val="2"/>
        <scheme val="minor"/>
      </rPr>
      <t>[Valor Unitário p/ jornada de 5 horas]</t>
    </r>
    <r>
      <rPr>
        <sz val="9"/>
        <color theme="1"/>
        <rFont val="Calibri"/>
        <family val="2"/>
        <scheme val="minor"/>
      </rPr>
      <t xml:space="preserve"> = [(Valor da Hora)*5*5]+(Valor dos encargos trabalhistas)+(Vale Refeição)+(Vale Transporte) + (Valor do BDI)</t>
    </r>
  </si>
  <si>
    <r>
      <rPr>
        <b/>
        <sz val="9"/>
        <color theme="1"/>
        <rFont val="Calibri"/>
        <family val="2"/>
        <scheme val="minor"/>
      </rPr>
      <t>[Valor Unitário p/ jornada de 8 horas]</t>
    </r>
    <r>
      <rPr>
        <sz val="9"/>
        <color theme="1"/>
        <rFont val="Calibri"/>
        <family val="2"/>
        <scheme val="minor"/>
      </rPr>
      <t xml:space="preserve"> = [(Valor da Hora)*8*5]+(Valor dos encargos trabalhistas)+(Vale Refeição)+(Vale Transporte) + (Valor do BDI)</t>
    </r>
  </si>
  <si>
    <t>QUADRO RESUMO</t>
  </si>
  <si>
    <t>Quantidade</t>
  </si>
  <si>
    <t>Remuneração Mensal *</t>
  </si>
  <si>
    <t xml:space="preserve">Valor Total </t>
  </si>
  <si>
    <t>TOTAL</t>
  </si>
  <si>
    <t>* Remuneração mensal para cálculo do contingenciamento de encargos trabalhistas</t>
  </si>
  <si>
    <t>A</t>
  </si>
  <si>
    <t>Total da Mão de Obra (remuneração Mensal)</t>
  </si>
  <si>
    <t>B</t>
  </si>
  <si>
    <t>C</t>
  </si>
  <si>
    <t>D</t>
  </si>
  <si>
    <t>F</t>
  </si>
  <si>
    <t>Incidência de encargos trabalhistas: percentual total do Módulo I s/ os itens A,B, C e D</t>
  </si>
  <si>
    <t>G</t>
  </si>
  <si>
    <t>Valor total mensal a contingenciar</t>
  </si>
  <si>
    <t>CRONOGRAMA FÍSICO FINANCEIRO</t>
  </si>
  <si>
    <t>Mês</t>
  </si>
  <si>
    <t>Total Mensal Contratação</t>
  </si>
  <si>
    <t>Total Mensal Remuneração</t>
  </si>
  <si>
    <t>Total Mensal Contingenciamento</t>
  </si>
  <si>
    <t>Mensal</t>
  </si>
  <si>
    <t>Trimestral</t>
  </si>
  <si>
    <t>Anual</t>
  </si>
  <si>
    <t>Total Geral</t>
  </si>
  <si>
    <t>Localidade:</t>
  </si>
  <si>
    <t>São Paulo - Palácio da Justiça</t>
  </si>
  <si>
    <t/>
  </si>
  <si>
    <t>Município</t>
  </si>
  <si>
    <t>Desoneração da folha</t>
  </si>
  <si>
    <t>DADOS DA FUNÇÃO</t>
  </si>
  <si>
    <t>Qtde</t>
  </si>
  <si>
    <t>PLANILHA DE FORMAÇÃO DE PREÇOS</t>
  </si>
  <si>
    <t>Módulo I - Mão de obra  (remuneração)</t>
  </si>
  <si>
    <t>Valor "R$"</t>
  </si>
  <si>
    <t>Salário base Mensal</t>
  </si>
  <si>
    <t>Periculosidade</t>
  </si>
  <si>
    <t>Noturno</t>
  </si>
  <si>
    <t>Insalubridade</t>
  </si>
  <si>
    <t>Acumulo de Função</t>
  </si>
  <si>
    <t>Hora Extra</t>
  </si>
  <si>
    <t>Total  de Mão de Obra (remuneração)</t>
  </si>
  <si>
    <t>ENCARGOS PREVIDENCIÁRIOS E TRABALHISTAS</t>
  </si>
  <si>
    <t>Módulo II - Encargos previdenciários e FGTS</t>
  </si>
  <si>
    <t>Módulo III - 13º Salário e Adicional de Férias</t>
  </si>
  <si>
    <t>Módulo IV - Afastamento Maternidade</t>
  </si>
  <si>
    <t>Módulo V - Provisão para Rescisão</t>
  </si>
  <si>
    <t>Módulo VI - Multa de FGTS e Contribuição Social</t>
  </si>
  <si>
    <t>Módulo VII - Custo de Reposição do Profissional Ausente</t>
  </si>
  <si>
    <t>Total Módulo VII</t>
  </si>
  <si>
    <t>Módulo VIII - Insumos e Obrigações Decorrentes de Convenção Coletiva</t>
  </si>
  <si>
    <t>Diário</t>
  </si>
  <si>
    <t>Dias úteis estimados no mês</t>
  </si>
  <si>
    <t>Dedução</t>
  </si>
  <si>
    <t xml:space="preserve">Vale Refeição </t>
  </si>
  <si>
    <t>Assistência Médica</t>
  </si>
  <si>
    <t>Benefício Natalidade</t>
  </si>
  <si>
    <t>Norma Regulamentadora nº 7</t>
  </si>
  <si>
    <t>Seguro de Vida</t>
  </si>
  <si>
    <t>Uniformes e EPIs</t>
  </si>
  <si>
    <t>Outros</t>
  </si>
  <si>
    <t>Total Módulo VIII</t>
  </si>
  <si>
    <t>Módulo IX - Materiais e Equipamentos</t>
  </si>
  <si>
    <t>Materiais de limpeza/equipamentos</t>
  </si>
  <si>
    <t>Total Módulo IX</t>
  </si>
  <si>
    <t>Custo Total - Módulo  I ao IX</t>
  </si>
  <si>
    <t>Módulo X - Benefícios e Despesas Indiretas (BDI)</t>
  </si>
  <si>
    <t>Valor R$</t>
  </si>
  <si>
    <t>Despesas Administrativas/indiretas</t>
  </si>
  <si>
    <t>Lucro Bruto</t>
  </si>
  <si>
    <t>Desoneração da Folha</t>
  </si>
  <si>
    <t>Total BDI</t>
  </si>
  <si>
    <t>Valor hora do profissional (Preço total mensal / 220)</t>
  </si>
  <si>
    <t>TOTAL DE DESCONTO POR DIA ÚTIL NÃO TRABALHADO</t>
  </si>
  <si>
    <t>Item</t>
  </si>
  <si>
    <t>Valor Dia R$</t>
  </si>
  <si>
    <t>Vale alimentação</t>
  </si>
  <si>
    <t>Vale transporte</t>
  </si>
  <si>
    <t>Materiais e sua depreciação</t>
  </si>
  <si>
    <t>Custo de reposição por ausências legais + encargos sociais</t>
  </si>
  <si>
    <t>Subtotal</t>
  </si>
  <si>
    <t>Benefícios e Despesas Indiretas (BDI)</t>
  </si>
  <si>
    <t>Total de desconto individual por dia</t>
  </si>
  <si>
    <t>Localidade</t>
  </si>
  <si>
    <t>Dias Estimados</t>
  </si>
  <si>
    <t>Adicionais</t>
  </si>
  <si>
    <t>Hora Extra - Plantão</t>
  </si>
  <si>
    <t>Remuneração Total</t>
  </si>
  <si>
    <t>Valor Total s/BDI</t>
  </si>
  <si>
    <t>Valor Total</t>
  </si>
  <si>
    <t>Encargos Sociais</t>
  </si>
  <si>
    <t>Vale refeição</t>
  </si>
  <si>
    <t>Total Benefícios</t>
  </si>
  <si>
    <t>Auxiliar de limpeza - diurno - 44 horas semanais (segunda a sexta-feira)</t>
  </si>
  <si>
    <t>Posto</t>
  </si>
  <si>
    <t>Auxiliar de limpeza - diurno - 24 horas  semanais</t>
  </si>
  <si>
    <t>Auxiliar de limpeza - noturno - 44 horas  semanais</t>
  </si>
  <si>
    <t>Serviço de limpeza - plantonista - domingos e feriados (5 horas)</t>
  </si>
  <si>
    <t>Plantão - Dom/Fer</t>
  </si>
  <si>
    <t>Limpador(a) de vidros - diurno - 44 horas semanais</t>
  </si>
  <si>
    <t>Limpador(a) de vidros - noturno - 44 horas semanais</t>
  </si>
  <si>
    <t>Limpador(a) de vidros com exposição à risco - diurno - 44 horas semanais</t>
  </si>
  <si>
    <t>Limpador(a) de vidros com exposição à risco - diurno - 24 horas semanais</t>
  </si>
  <si>
    <t>Limpador(a) de vidros com exposição à risco - noturno - 44 horas semanais</t>
  </si>
  <si>
    <t>Jardineiro(a) - 44 horas semanais</t>
  </si>
  <si>
    <t>Jardineiro(a) - 24 horas semanais</t>
  </si>
  <si>
    <t>Serviço de Jardinagem</t>
  </si>
  <si>
    <t>M2</t>
  </si>
  <si>
    <t>Serviço de limpeza de vidros com exposição à situação de risco</t>
  </si>
  <si>
    <t>Auxiliar de limpeza área médica - diurno - 44 horas semanais</t>
  </si>
  <si>
    <t>Serviço de limpeza - plantonista - sábado (5 horas)</t>
  </si>
  <si>
    <t>Plantão - Sábado</t>
  </si>
  <si>
    <t>Copeiro(a) - diurno - 44 horas semanais</t>
  </si>
  <si>
    <t>Supervisor(a) de limpeza - diurno - 44 horas semanais</t>
  </si>
  <si>
    <t>Serviço de limpeza de vidros sem exposição à situação de risco</t>
  </si>
  <si>
    <t>Serviço de encarregado - plantonista - sábado</t>
  </si>
  <si>
    <t>Serviço de encarregado - plantonista - domingos e feriados</t>
  </si>
  <si>
    <t>Auxiliar de limpeza - diurno - 44 horas semanais (segunda a sábado)</t>
  </si>
  <si>
    <t>Serviço de limpeza - plantonista - recesso judiciário (5 horas)</t>
  </si>
  <si>
    <t>Plantão - Recesso</t>
  </si>
  <si>
    <t>Copeiro(a) - diurno - 24 horas semanais</t>
  </si>
  <si>
    <t>Agente de Higienização (Tempo Integral) - (40%) - 44 horas semanais</t>
  </si>
  <si>
    <t>Agente de Higienização (Tempo Integral) - (40%) - 24 horas semanais</t>
  </si>
  <si>
    <t>Líder até 10 subordinados - diurno - 44 horas semanais</t>
  </si>
  <si>
    <t>Líder até 10 subordinados - noturno - 44 horas semanais</t>
  </si>
  <si>
    <t>Encarregado(a) 11 ou mais subordinados - diurno - 44 horas semanais</t>
  </si>
  <si>
    <t>Encarregado(a) 11 ou mais subordinados - noturno - 44 horas semanais</t>
  </si>
  <si>
    <t>Serviço de limpeza - plantonista - (Agente de Higienização - 40%) - sábado - 8 horas/dia</t>
  </si>
  <si>
    <t>Serviço de limpeza - plantonista - (Agente de Higienização - 40%) - domingos e feriados - 8 horas/dia</t>
  </si>
  <si>
    <t>Agente de Higienização (Tempo Integral) - (40%) - 44 horas semanais - noturno</t>
  </si>
  <si>
    <t xml:space="preserve">Auxiliar de Limpeza, com adicional de acúmulo de função - diurno - 44 horas semanais </t>
  </si>
  <si>
    <t xml:space="preserve">Auxiliar de Limpeza, com adicional de acúmulo de função - diurno - 24 horas semanais </t>
  </si>
  <si>
    <t>Serviço de limpeza - plantonista - sábados (8 horas)</t>
  </si>
  <si>
    <t>Serviço de limpeza - plantonista - domingos (8 horas)</t>
  </si>
  <si>
    <t>RA</t>
  </si>
  <si>
    <t>ISS</t>
  </si>
  <si>
    <t>Legislação</t>
  </si>
  <si>
    <t>R05</t>
  </si>
  <si>
    <t>Adamantina</t>
  </si>
  <si>
    <t>R04</t>
  </si>
  <si>
    <t>Aguaí</t>
  </si>
  <si>
    <t>Águas de Lindóia</t>
  </si>
  <si>
    <t>R03</t>
  </si>
  <si>
    <t>Agudos</t>
  </si>
  <si>
    <t>R06</t>
  </si>
  <si>
    <t>Altinópolis</t>
  </si>
  <si>
    <t>Americana</t>
  </si>
  <si>
    <t>Américo Brasiliense</t>
  </si>
  <si>
    <t>Amparo</t>
  </si>
  <si>
    <t>R02</t>
  </si>
  <si>
    <t>Andradina</t>
  </si>
  <si>
    <t>R10</t>
  </si>
  <si>
    <t>Angatuba</t>
  </si>
  <si>
    <t>R09</t>
  </si>
  <si>
    <t>Aparecida</t>
  </si>
  <si>
    <t>Apiaí</t>
  </si>
  <si>
    <t>Araçatuba</t>
  </si>
  <si>
    <t>Araraquara</t>
  </si>
  <si>
    <t>Araras</t>
  </si>
  <si>
    <t>Artur Nogueira</t>
  </si>
  <si>
    <t>R01</t>
  </si>
  <si>
    <t>Arujá</t>
  </si>
  <si>
    <t>Assis</t>
  </si>
  <si>
    <t>Atibaia</t>
  </si>
  <si>
    <t>Auriflama</t>
  </si>
  <si>
    <t>Avaré</t>
  </si>
  <si>
    <t>Bananal</t>
  </si>
  <si>
    <t>Bariri</t>
  </si>
  <si>
    <t>Barra Bonita</t>
  </si>
  <si>
    <t>R08</t>
  </si>
  <si>
    <t>Barretos</t>
  </si>
  <si>
    <t>Barueri</t>
  </si>
  <si>
    <t>Bastos</t>
  </si>
  <si>
    <t>Batatais</t>
  </si>
  <si>
    <t>Bauru</t>
  </si>
  <si>
    <t>Bebedouro</t>
  </si>
  <si>
    <t>R07</t>
  </si>
  <si>
    <t>Bertioga</t>
  </si>
  <si>
    <t>Bilac</t>
  </si>
  <si>
    <t>Birigui</t>
  </si>
  <si>
    <t>Boituva</t>
  </si>
  <si>
    <t>Borborema</t>
  </si>
  <si>
    <t>Botucatu</t>
  </si>
  <si>
    <t>Bragança Paulista</t>
  </si>
  <si>
    <t>Brodowski</t>
  </si>
  <si>
    <t>Brotas</t>
  </si>
  <si>
    <t>Buri</t>
  </si>
  <si>
    <t>Buritama</t>
  </si>
  <si>
    <t>Cabreúva</t>
  </si>
  <si>
    <t>Caçapava</t>
  </si>
  <si>
    <t>Cachoeira Paulista</t>
  </si>
  <si>
    <t>Caconde</t>
  </si>
  <si>
    <t>Cafelândia</t>
  </si>
  <si>
    <t>Caieiras</t>
  </si>
  <si>
    <t>Cajamar</t>
  </si>
  <si>
    <t>Cajuru</t>
  </si>
  <si>
    <t>Campinas</t>
  </si>
  <si>
    <t>Campo Limpo Paulista</t>
  </si>
  <si>
    <t>Campos do Jordão</t>
  </si>
  <si>
    <t>Cananéia</t>
  </si>
  <si>
    <t>Cândido Mota</t>
  </si>
  <si>
    <t>Capão Bonito</t>
  </si>
  <si>
    <t>Capivari</t>
  </si>
  <si>
    <t>Caraguatatuba</t>
  </si>
  <si>
    <t>Carapicuíba</t>
  </si>
  <si>
    <t>Cardoso</t>
  </si>
  <si>
    <t>Casa Branca</t>
  </si>
  <si>
    <t>Catanduva</t>
  </si>
  <si>
    <t>Cerqueira Cesar</t>
  </si>
  <si>
    <t>Cerquilho</t>
  </si>
  <si>
    <t>Cesário Lange</t>
  </si>
  <si>
    <t>LEI Nº 1074, DE 18 DE DEZEMBRO DE 2003</t>
  </si>
  <si>
    <t>Chavantes</t>
  </si>
  <si>
    <t>Colina</t>
  </si>
  <si>
    <t>Conchal</t>
  </si>
  <si>
    <t>Conchas</t>
  </si>
  <si>
    <t>Cordeirópolis</t>
  </si>
  <si>
    <t>Cosmópolis</t>
  </si>
  <si>
    <t>Cotia</t>
  </si>
  <si>
    <t>Cravinhos</t>
  </si>
  <si>
    <t>Cruzeiro</t>
  </si>
  <si>
    <t>Cubatão</t>
  </si>
  <si>
    <t>Cunha</t>
  </si>
  <si>
    <t>Descalvado</t>
  </si>
  <si>
    <t>Diadema</t>
  </si>
  <si>
    <t>Dois Córregos</t>
  </si>
  <si>
    <t>Dracena</t>
  </si>
  <si>
    <t>Duartina</t>
  </si>
  <si>
    <t>Eldorado</t>
  </si>
  <si>
    <t>Embu das Artes</t>
  </si>
  <si>
    <t>Embu-Guaçu</t>
  </si>
  <si>
    <t>Espírito Santo do Pinhal</t>
  </si>
  <si>
    <t>Estrela D'Oeste</t>
  </si>
  <si>
    <t>Fartura</t>
  </si>
  <si>
    <t>Fernandópolis</t>
  </si>
  <si>
    <t>Ferraz de Vasconcelos</t>
  </si>
  <si>
    <t>Flórida Paulista</t>
  </si>
  <si>
    <t>Franca</t>
  </si>
  <si>
    <t>Francisco Morato</t>
  </si>
  <si>
    <t>Franco da Rocha</t>
  </si>
  <si>
    <t>Gália</t>
  </si>
  <si>
    <t>Garça</t>
  </si>
  <si>
    <t>General Salgado</t>
  </si>
  <si>
    <t>Getulina</t>
  </si>
  <si>
    <t>Guaíra</t>
  </si>
  <si>
    <t>Guará</t>
  </si>
  <si>
    <t>Guararapes</t>
  </si>
  <si>
    <t>Guararema</t>
  </si>
  <si>
    <t>Guaratinguetá</t>
  </si>
  <si>
    <t>Guariba</t>
  </si>
  <si>
    <t>Guarujá</t>
  </si>
  <si>
    <t>Guarulhos</t>
  </si>
  <si>
    <t>Hortolândia</t>
  </si>
  <si>
    <t>Iacanga</t>
  </si>
  <si>
    <t>Ibaté</t>
  </si>
  <si>
    <t>Ibitinga</t>
  </si>
  <si>
    <t>Ibiúna</t>
  </si>
  <si>
    <t>Iepê</t>
  </si>
  <si>
    <t>Igarapava</t>
  </si>
  <si>
    <t>Iguape</t>
  </si>
  <si>
    <t>Ilha Solteira</t>
  </si>
  <si>
    <t>Ilhabela</t>
  </si>
  <si>
    <t>Indaiatuba</t>
  </si>
  <si>
    <t>Ipaussu</t>
  </si>
  <si>
    <t>Ipuã</t>
  </si>
  <si>
    <t>Itaberá</t>
  </si>
  <si>
    <t>Itaí</t>
  </si>
  <si>
    <t>Itajobi</t>
  </si>
  <si>
    <t>Itanhaém</t>
  </si>
  <si>
    <t>Itapecerica da Serra</t>
  </si>
  <si>
    <t>Itapetininga</t>
  </si>
  <si>
    <t>Itapeva</t>
  </si>
  <si>
    <t>Itapevi</t>
  </si>
  <si>
    <t>Itapira</t>
  </si>
  <si>
    <t>Itápolis</t>
  </si>
  <si>
    <t>Itaporanga</t>
  </si>
  <si>
    <t>Itaquaquecetuba</t>
  </si>
  <si>
    <t>Itararé</t>
  </si>
  <si>
    <t>Itariri</t>
  </si>
  <si>
    <t>Itatiba</t>
  </si>
  <si>
    <t>Itatinga</t>
  </si>
  <si>
    <t>Itirapina</t>
  </si>
  <si>
    <t>Itu</t>
  </si>
  <si>
    <t>Itupeva</t>
  </si>
  <si>
    <t>Ituverava</t>
  </si>
  <si>
    <t>Jaboticabal</t>
  </si>
  <si>
    <t>Jacareí</t>
  </si>
  <si>
    <t>Jacupiranga</t>
  </si>
  <si>
    <t>Jaguariúna</t>
  </si>
  <si>
    <t>Jales</t>
  </si>
  <si>
    <t>Jandira</t>
  </si>
  <si>
    <t>Jardinópolis</t>
  </si>
  <si>
    <t>Jarinu</t>
  </si>
  <si>
    <t>Jaú</t>
  </si>
  <si>
    <t>José Bonifácio</t>
  </si>
  <si>
    <t>Jundiaí</t>
  </si>
  <si>
    <t>Junqueirópolis</t>
  </si>
  <si>
    <t>Juquiá</t>
  </si>
  <si>
    <t>Laranjal Paulista</t>
  </si>
  <si>
    <t>Leme</t>
  </si>
  <si>
    <t>Lençóis Paulista</t>
  </si>
  <si>
    <t>Limeira</t>
  </si>
  <si>
    <t>Lins</t>
  </si>
  <si>
    <t>Lorena</t>
  </si>
  <si>
    <t>Louveira</t>
  </si>
  <si>
    <t>Lucélia</t>
  </si>
  <si>
    <t>Macatuba</t>
  </si>
  <si>
    <t>Macaubal</t>
  </si>
  <si>
    <t>Mairinque</t>
  </si>
  <si>
    <t>Mairiporã</t>
  </si>
  <si>
    <t>Maracaí</t>
  </si>
  <si>
    <t>Marília</t>
  </si>
  <si>
    <t>Martinópolis</t>
  </si>
  <si>
    <t>Matão</t>
  </si>
  <si>
    <t>Mauá</t>
  </si>
  <si>
    <t>Miguelópolis</t>
  </si>
  <si>
    <t>Miracatu</t>
  </si>
  <si>
    <t>Mirandópolis</t>
  </si>
  <si>
    <t>Mirante do Paranapanema</t>
  </si>
  <si>
    <t>Mirassol</t>
  </si>
  <si>
    <t>Mococa</t>
  </si>
  <si>
    <t>Mogi das Cruzes</t>
  </si>
  <si>
    <t>Mogi Guaçu</t>
  </si>
  <si>
    <t>Mogi Mirim</t>
  </si>
  <si>
    <t>Mongaguá</t>
  </si>
  <si>
    <t>Monte Alto</t>
  </si>
  <si>
    <t>Monte Aprazível</t>
  </si>
  <si>
    <t>Monte Azul Paulista</t>
  </si>
  <si>
    <t>Monte Mor</t>
  </si>
  <si>
    <t>Morro Agudo</t>
  </si>
  <si>
    <t>Nazaré Paulista</t>
  </si>
  <si>
    <t>Neves Paulista</t>
  </si>
  <si>
    <t>Nhandeara</t>
  </si>
  <si>
    <t>Nova Granada</t>
  </si>
  <si>
    <t>Nova Odessa</t>
  </si>
  <si>
    <t>Novo Horizonte</t>
  </si>
  <si>
    <t>Nuporanga</t>
  </si>
  <si>
    <t>Olímpia</t>
  </si>
  <si>
    <t>Orlândia</t>
  </si>
  <si>
    <t>Osasco</t>
  </si>
  <si>
    <t>Osvaldo Cruz</t>
  </si>
  <si>
    <t>Ourinhos</t>
  </si>
  <si>
    <t>Ouroeste</t>
  </si>
  <si>
    <t>Pacaembu</t>
  </si>
  <si>
    <t>Palestina</t>
  </si>
  <si>
    <t>Palmeira D'Oeste</t>
  </si>
  <si>
    <t>Palmital</t>
  </si>
  <si>
    <t>Panorama</t>
  </si>
  <si>
    <t>Paraguaçu Paulista</t>
  </si>
  <si>
    <t>Paraibuna</t>
  </si>
  <si>
    <t>Paranapanema</t>
  </si>
  <si>
    <t>Pariquera-Açu</t>
  </si>
  <si>
    <t>Patrocínio Paulista</t>
  </si>
  <si>
    <t>Paulínia</t>
  </si>
  <si>
    <t>Paulo de Faria</t>
  </si>
  <si>
    <t>Pederneiras</t>
  </si>
  <si>
    <t>Pedregulho</t>
  </si>
  <si>
    <t>Pedreira</t>
  </si>
  <si>
    <t>Penápolis</t>
  </si>
  <si>
    <t>Lei nº 1.202/2003</t>
  </si>
  <si>
    <t>Pereira Barreto</t>
  </si>
  <si>
    <t>Peruíbe</t>
  </si>
  <si>
    <t>Piedade</t>
  </si>
  <si>
    <t>Pilar do Sul</t>
  </si>
  <si>
    <t>Pindamonhangaba</t>
  </si>
  <si>
    <t>Pinhalzinho</t>
  </si>
  <si>
    <t>Piquete</t>
  </si>
  <si>
    <t>Piracaia</t>
  </si>
  <si>
    <t>Piracicaba</t>
  </si>
  <si>
    <t>Piraju</t>
  </si>
  <si>
    <t>Pirajuí</t>
  </si>
  <si>
    <t>Pirangi</t>
  </si>
  <si>
    <t>Pirapozinho</t>
  </si>
  <si>
    <t>Pirassununga</t>
  </si>
  <si>
    <t>Piratininga</t>
  </si>
  <si>
    <t>Pitangueiras</t>
  </si>
  <si>
    <t>Poá</t>
  </si>
  <si>
    <t>Pompéia</t>
  </si>
  <si>
    <t>Pontal</t>
  </si>
  <si>
    <t>Porangaba</t>
  </si>
  <si>
    <t>Porto Feliz</t>
  </si>
  <si>
    <t>Porto Ferreira</t>
  </si>
  <si>
    <t>Potirendaba</t>
  </si>
  <si>
    <t>Lei Complementar nº 002/2009</t>
  </si>
  <si>
    <t>Praia Grande</t>
  </si>
  <si>
    <t>Presidente Bernardes</t>
  </si>
  <si>
    <t>Presidente Epitácio</t>
  </si>
  <si>
    <t>Presidente Prudente</t>
  </si>
  <si>
    <t>Presidente Venceslau</t>
  </si>
  <si>
    <t>Promissão</t>
  </si>
  <si>
    <t>Quatá</t>
  </si>
  <si>
    <t>Queluz</t>
  </si>
  <si>
    <t>Rancharia</t>
  </si>
  <si>
    <t>Regente Feijó</t>
  </si>
  <si>
    <t>Registro</t>
  </si>
  <si>
    <t>Ribeirão Bonito</t>
  </si>
  <si>
    <t>Ribeirão Pires</t>
  </si>
  <si>
    <t>Ribeirão Preto</t>
  </si>
  <si>
    <t>Rio Claro</t>
  </si>
  <si>
    <t>Rio das Pedras</t>
  </si>
  <si>
    <t>Rio Grande da Serra</t>
  </si>
  <si>
    <t>Rosana</t>
  </si>
  <si>
    <t>Roseira</t>
  </si>
  <si>
    <t>Salesópolis</t>
  </si>
  <si>
    <t>Salto</t>
  </si>
  <si>
    <t>Salto de Pirapora</t>
  </si>
  <si>
    <t>Santa Adélia</t>
  </si>
  <si>
    <t>Santa Bárbara D'Oeste</t>
  </si>
  <si>
    <t>Santa Branca</t>
  </si>
  <si>
    <t>Santa Cruz das Palmeiras</t>
  </si>
  <si>
    <t>Santa Cruz do Rio Pardo</t>
  </si>
  <si>
    <t>Santa Fé do Sul</t>
  </si>
  <si>
    <t>Santa Isabel</t>
  </si>
  <si>
    <t>Santa Rita do Passa Quatro</t>
  </si>
  <si>
    <t>Santa Rosa do Viterbo</t>
  </si>
  <si>
    <t>Santana de Parnaíba</t>
  </si>
  <si>
    <t>Santo Anastácio</t>
  </si>
  <si>
    <t>Santo André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</si>
  <si>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</si>
  <si>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</si>
  <si>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</si>
  <si>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</si>
  <si>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</si>
  <si>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</si>
  <si>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Joaquim da Barra</t>
  </si>
  <si>
    <t>São José do Rio Pardo</t>
  </si>
  <si>
    <t>São José do Rio Preto</t>
  </si>
  <si>
    <t>São José dos Campos</t>
  </si>
  <si>
    <t>São Luiz do Paraitinga</t>
  </si>
  <si>
    <t>São Manuel</t>
  </si>
  <si>
    <t>São Miguel Arcanjo</t>
  </si>
  <si>
    <t>São Paulo</t>
  </si>
  <si>
    <t>São Pedro</t>
  </si>
  <si>
    <t>São Roque</t>
  </si>
  <si>
    <t>São Sebastião</t>
  </si>
  <si>
    <t>São Sebastião da Grama</t>
  </si>
  <si>
    <t>São Simão</t>
  </si>
  <si>
    <t>São Vicente</t>
  </si>
  <si>
    <t>Serra Negra</t>
  </si>
  <si>
    <t>Serrana</t>
  </si>
  <si>
    <t>Sertãozinho</t>
  </si>
  <si>
    <t>Socorro</t>
  </si>
  <si>
    <t>Sorocaba</t>
  </si>
  <si>
    <t>Sumaré</t>
  </si>
  <si>
    <t>Suzano</t>
  </si>
  <si>
    <t>Tabapuã</t>
  </si>
  <si>
    <t>Taboão da Serra</t>
  </si>
  <si>
    <t>Tambaú</t>
  </si>
  <si>
    <t>Tanabi</t>
  </si>
  <si>
    <t>Taquaritinga</t>
  </si>
  <si>
    <t>Taquarituba</t>
  </si>
  <si>
    <t>Tatuí</t>
  </si>
  <si>
    <t>Taubaté</t>
  </si>
  <si>
    <t>Teodoro Sampaio</t>
  </si>
  <si>
    <t>Tietê</t>
  </si>
  <si>
    <t>Tremembé</t>
  </si>
  <si>
    <t>Tupã</t>
  </si>
  <si>
    <t>Tupi Paulista</t>
  </si>
  <si>
    <t>Ubatuba</t>
  </si>
  <si>
    <t>Urânia</t>
  </si>
  <si>
    <t>Urupês</t>
  </si>
  <si>
    <t>Valinhos</t>
  </si>
  <si>
    <t>Valparaíso</t>
  </si>
  <si>
    <t>Vargem Grande do Sul</t>
  </si>
  <si>
    <t>Vargem Grande Paulista</t>
  </si>
  <si>
    <t>Várzea Paulista</t>
  </si>
  <si>
    <t>Vila Mimosa</t>
  </si>
  <si>
    <t>Vinhedo</t>
  </si>
  <si>
    <t>Viradouro</t>
  </si>
  <si>
    <t>Votorantim</t>
  </si>
  <si>
    <t>Votuporanga</t>
  </si>
  <si>
    <t>Periocidade</t>
  </si>
  <si>
    <t>Valor Unitário</t>
  </si>
  <si>
    <t>Código Imóvel</t>
  </si>
  <si>
    <t>Código SGI</t>
  </si>
  <si>
    <t>RAJ</t>
  </si>
  <si>
    <t>CJ</t>
  </si>
  <si>
    <t>Denominação do imóvel</t>
  </si>
  <si>
    <t>Característica do imóvel / espaço</t>
  </si>
  <si>
    <t>Uso principal do local</t>
  </si>
  <si>
    <t>RAJ 1</t>
  </si>
  <si>
    <t>00ª CJ - Capital</t>
  </si>
  <si>
    <t>São Paulo  - Fórum Regional II - Santo Amaro - Nações Unidas</t>
  </si>
  <si>
    <t>Edificação</t>
  </si>
  <si>
    <t>Fórum</t>
  </si>
  <si>
    <t>RAJ 5</t>
  </si>
  <si>
    <t>27ª CJ - Presidente Prudente</t>
  </si>
  <si>
    <t>Presidente Prudente III - Unidade(s) Administrativa(s) + DEECRIM + Depósito + Arquivo / Acervo + Almoxarifado + Psicossocial</t>
  </si>
  <si>
    <t>Unidade(s) Administrativa(s)</t>
  </si>
  <si>
    <t>RAJ 4</t>
  </si>
  <si>
    <t>11ª CJ - Pirassununga</t>
  </si>
  <si>
    <t>Leme I - Fórum Principal</t>
  </si>
  <si>
    <t>Leme II - JEC / JECRIM + Arquivo / Acervo</t>
  </si>
  <si>
    <t>JEC / JECRIM</t>
  </si>
  <si>
    <t>RAJ 8</t>
  </si>
  <si>
    <t>18ª CJ - Fernandópolis</t>
  </si>
  <si>
    <t>Fernandópolis I - Fórum Principal</t>
  </si>
  <si>
    <t>Fernandópolis IV - Psicossocial</t>
  </si>
  <si>
    <t>Psicossocial</t>
  </si>
  <si>
    <t>34ª CJ - Piracicaba</t>
  </si>
  <si>
    <t>Capivari I - Fórum Execuções fiscais</t>
  </si>
  <si>
    <t>Cerquilho I - Fórum Principal</t>
  </si>
  <si>
    <t>26ª CJ - Assis</t>
  </si>
  <si>
    <t>Palmital I - Fórum Principal</t>
  </si>
  <si>
    <t>São Paulo - Fórum Regional XII - Nossa Senhora do Ó</t>
  </si>
  <si>
    <t>Pirassununga I - Fórum Principal</t>
  </si>
  <si>
    <t>54ª CJ - Amparo</t>
  </si>
  <si>
    <t>Socorro III - Fórum Principal</t>
  </si>
  <si>
    <t>16ª CJ - São José do Rio Preto</t>
  </si>
  <si>
    <t>José Bonifácio I - Fórum Principal</t>
  </si>
  <si>
    <t>4ª CJ - Osasco</t>
  </si>
  <si>
    <t>Barueri I - Fórum Principal</t>
  </si>
  <si>
    <t>6ª CJ - Bragança Paulista</t>
  </si>
  <si>
    <t>Jarinu II - CEJUSC</t>
  </si>
  <si>
    <t>CEJUSC</t>
  </si>
  <si>
    <t>5ª CJ - Jundiaí</t>
  </si>
  <si>
    <t>Cajamar I - Fórum Principal</t>
  </si>
  <si>
    <t>50ª CJ - São João da Boa Vista</t>
  </si>
  <si>
    <t>Espírito Santo do Pinhal I - Fórum Principal</t>
  </si>
  <si>
    <t>Piracaia I - Fórum Principal</t>
  </si>
  <si>
    <t>Várzea Paulista I - Fórum Principal</t>
  </si>
  <si>
    <t>Bragança Paulista II - Execuções fiscais - Ofício</t>
  </si>
  <si>
    <t>Execuções fiscais - Ofício</t>
  </si>
  <si>
    <t>Jaguariúna II - JEC / JECRIM</t>
  </si>
  <si>
    <t>Várzea Paulista II - CEJUSC + Execuções fiscais - Ofício (Imóvel comercial)</t>
  </si>
  <si>
    <t>Sala ou espaço comercial</t>
  </si>
  <si>
    <t>Imóvel comercial</t>
  </si>
  <si>
    <t>Amparo I - Fórum Principal</t>
  </si>
  <si>
    <t>RAJ 10</t>
  </si>
  <si>
    <t>19ª CJ - Sorocaba</t>
  </si>
  <si>
    <t>Pilar do Sul I - Fórum Principal</t>
  </si>
  <si>
    <t>Piracicaba I - Fórum Principal</t>
  </si>
  <si>
    <t>7ª CJ - Mogi Mirim</t>
  </si>
  <si>
    <t>Artur Nogueira I - Fórum Principal</t>
  </si>
  <si>
    <t>Pilar do Sul II - JEC / JECRIM + Execuções fiscais - Ofício</t>
  </si>
  <si>
    <t>Tietê III - Justiça restaurativa</t>
  </si>
  <si>
    <t>Justiça restaurativa</t>
  </si>
  <si>
    <t>8ª CJ - Campinas</t>
  </si>
  <si>
    <t>Paulínia I - Fórum Principal</t>
  </si>
  <si>
    <t>Amparo II - Execuções fiscais - Ofício + Psicossocial</t>
  </si>
  <si>
    <t>Mogi Guaçu II - Execuções fiscais - Ofício + JEC / JECRIM - Vara</t>
  </si>
  <si>
    <t>Mogi Guaçu III - CEJUSC + Central de mandados</t>
  </si>
  <si>
    <t>Mogi Guaçu IV - Psicossocial</t>
  </si>
  <si>
    <t>Francisco Morato IV - Unidade(s) Administrativa(s) + Ofício(s) da(s) vara(s) judicial(is)</t>
  </si>
  <si>
    <t>Caieiras I - Fórum Principal</t>
  </si>
  <si>
    <t>Campo Limpo Paulista I - Fórum Principal</t>
  </si>
  <si>
    <t>Rio das Pedras I - Fórum Principal</t>
  </si>
  <si>
    <t>Valinhos I - Fórum Principal</t>
  </si>
  <si>
    <t>Nazaré Paulista I - Fórum Principal</t>
  </si>
  <si>
    <t>Caieiras II - Execuções fiscais - Ofício + CEJUSC + JEC / JECRIM</t>
  </si>
  <si>
    <t>Campo Limpo Paulista II - CEJUSC</t>
  </si>
  <si>
    <t>53ª CJ - Americana</t>
  </si>
  <si>
    <t>Hortolândia I - Fórum Principal</t>
  </si>
  <si>
    <t>22ª CJ - Itapetininga</t>
  </si>
  <si>
    <t>Angatuba I - Fórum Principal</t>
  </si>
  <si>
    <t>RAJ 6</t>
  </si>
  <si>
    <t>13ª CJ - Araraquara</t>
  </si>
  <si>
    <t>Borborema I - Fórum Principal Borborema-SP</t>
  </si>
  <si>
    <t>12ª CJ - São Carlos</t>
  </si>
  <si>
    <t>Descalvado I - Fórum Principal</t>
  </si>
  <si>
    <t>29ª CJ - Dracena</t>
  </si>
  <si>
    <t>Dracena I - Fórum Principal</t>
  </si>
  <si>
    <t>31ª CJ - Marília</t>
  </si>
  <si>
    <t>Gália I - Fórum Principal</t>
  </si>
  <si>
    <t>General Salgado I - Fórum Principal</t>
  </si>
  <si>
    <t>9ª CJ - Rio Claro</t>
  </si>
  <si>
    <t>Itirapina I - Fórum Principal</t>
  </si>
  <si>
    <t>RAJ 2</t>
  </si>
  <si>
    <t>36ª CJ - Araçatuba</t>
  </si>
  <si>
    <t>Penápolis I - Fórum Principal</t>
  </si>
  <si>
    <t>Porto Ferreira I - Fórum Principal</t>
  </si>
  <si>
    <t>São João da Boa Vista I - Fórum Principal</t>
  </si>
  <si>
    <t>Votorantim I - Fórum Principal</t>
  </si>
  <si>
    <t>São Paulo - Fórum Regional VIII - Tatuapé</t>
  </si>
  <si>
    <t>Ibitinga II - JEC / JECRIM - Vara + CEJUSC + Central de mandados + Depósito + Execuções fiscais - Ofício</t>
  </si>
  <si>
    <t>JEC / JECRIM - Vara</t>
  </si>
  <si>
    <t>Americana II - Execuções fiscais - Ofício + Psicossocial</t>
  </si>
  <si>
    <t>RAJ 9</t>
  </si>
  <si>
    <t>48ª CJ - Guaratinguetá</t>
  </si>
  <si>
    <t>Guaratinguetá II - JEC / JECRIM</t>
  </si>
  <si>
    <t>Dracena II - JEC / JECRIM</t>
  </si>
  <si>
    <t>Pirassununga II - JEC / JECRIM + Central de mandados + CEJUSC + Execuções fiscais - Ofício + JEC / JECRIM - Vara</t>
  </si>
  <si>
    <t>Pirassununga III - Psicossocial</t>
  </si>
  <si>
    <t>Penápolis II - CEJUSC + JEC / JECRIM</t>
  </si>
  <si>
    <t>Borborema II - JEC / JECRIM</t>
  </si>
  <si>
    <t>São Paulo - Lavarrápido - Moóca</t>
  </si>
  <si>
    <t>Lava rápido</t>
  </si>
  <si>
    <t>São Paulo - Estacionamento I - Conde de Sarzedas</t>
  </si>
  <si>
    <t>Estacionamento</t>
  </si>
  <si>
    <t>Guaratinguetá III - Execuções fiscais - Ofício + Psicossocial</t>
  </si>
  <si>
    <t>Itupeva I - Fórum Principal</t>
  </si>
  <si>
    <t>45ª CJ - Mogi das Cruzes</t>
  </si>
  <si>
    <t>Mogi das Cruzes IV - CEJUSC (UMC)</t>
  </si>
  <si>
    <t>Sala ou espaço</t>
  </si>
  <si>
    <t>Faculdade / Universidade</t>
  </si>
  <si>
    <t>Guaratinguetá IV - CEJUSC</t>
  </si>
  <si>
    <t>São Paulo - Outros (OAB)</t>
  </si>
  <si>
    <t>São José do Rio Preto III - JEC / JECRIM - Vara + Família / Sucessões - Vara + Infância / Juventude / Idoso - Vara + Justiça Restaurativa</t>
  </si>
  <si>
    <t>Mogi das Cruzes V - Juizado Itinerante Biritiba Mirim</t>
  </si>
  <si>
    <t>Juizado Itinerante</t>
  </si>
  <si>
    <t>Dracena V - CEJUSC  (Polícia)</t>
  </si>
  <si>
    <t>Polícia</t>
  </si>
  <si>
    <t>Paraguaçu Paulista II - CEJUSC (Polícia)</t>
  </si>
  <si>
    <t>Penápolis III - CEJUSC (Polícia)</t>
  </si>
  <si>
    <t>Penápolis V - CEJUSC (FUNEPE)</t>
  </si>
  <si>
    <t>Francisco Morato I - Fórum Principal</t>
  </si>
  <si>
    <t>47ª CJ - Taubaté</t>
  </si>
  <si>
    <t>Tremembé I - Fórum Principal</t>
  </si>
  <si>
    <t>Nova Granada I - Fórum Principal</t>
  </si>
  <si>
    <t>Lorena III -Execuções fiscais - Ofício</t>
  </si>
  <si>
    <t>RAJ 7</t>
  </si>
  <si>
    <t>1ª CJ - Santos</t>
  </si>
  <si>
    <t>Santos VI - JEC / JECRIM (UNISANTOS)</t>
  </si>
  <si>
    <t>Santos VII - JEC / JECRIM (UNISANTA)</t>
  </si>
  <si>
    <t>Jaguariúna I - Fórum Principal</t>
  </si>
  <si>
    <t>3ª CJ - Santo André</t>
  </si>
  <si>
    <t>São Caetano do Sul I - Fórum Principal</t>
  </si>
  <si>
    <t>Caçapava III - Fórum Cível</t>
  </si>
  <si>
    <t>São Miguel Arcanjo I - Fórum Principal</t>
  </si>
  <si>
    <t>Tupi Paulista I - Fórum Principal</t>
  </si>
  <si>
    <t>RAJ 3</t>
  </si>
  <si>
    <t>24ª CJ - Avaré</t>
  </si>
  <si>
    <t>Avaré I - Fórum Principal</t>
  </si>
  <si>
    <t>10ª CJ - Sorocaba</t>
  </si>
  <si>
    <t>Limeira I - Fórum Cível</t>
  </si>
  <si>
    <t>32ª CJ - Bauru</t>
  </si>
  <si>
    <t>Piratininga I - Fórum Principal</t>
  </si>
  <si>
    <t>São Paulo - Consolação EPM</t>
  </si>
  <si>
    <t>Limeira II - Fórum Criminal</t>
  </si>
  <si>
    <t>Rio Claro III - JEC / JECRIM - Vara + CEJUSC + Central de mandados + Psicossocial + Arquivo / Acervo + Depósito</t>
  </si>
  <si>
    <t>Hortolândia II - CEJUSC + Execuções fiscais - Ofício + Psicossocial</t>
  </si>
  <si>
    <t>Rio Claro VII - Fórum Criminal</t>
  </si>
  <si>
    <t>Americana I - Fórum Principal</t>
  </si>
  <si>
    <t>10ª CJ - Limeira</t>
  </si>
  <si>
    <t>Araras I - Fórum Principal</t>
  </si>
  <si>
    <t>14ª CJ - Barretos</t>
  </si>
  <si>
    <t>Barretos I - Fórum Principal</t>
  </si>
  <si>
    <t>Brotas I - Fórum Principal</t>
  </si>
  <si>
    <t>Laranjal Paulista I - Fórum Principal</t>
  </si>
  <si>
    <t>Rio Claro I - Fórum Cível</t>
  </si>
  <si>
    <t>Sumaré I - Fórum Principal</t>
  </si>
  <si>
    <t>Santa Bárbara d'Oeste</t>
  </si>
  <si>
    <t>Santa Bárbara d'Oeste II - Execuções fiscais - Ofício</t>
  </si>
  <si>
    <t>Rio Claro IV - Arquivo / Acervo</t>
  </si>
  <si>
    <t>Arquivo / Acervo</t>
  </si>
  <si>
    <t>Rio das Pedras II - JEC / JECRIM</t>
  </si>
  <si>
    <t>37ª CJ - Andradina</t>
  </si>
  <si>
    <t>Andradina V - CEJUSC</t>
  </si>
  <si>
    <t>38ª CJ - Franca</t>
  </si>
  <si>
    <t>Franca II - CEJUSC</t>
  </si>
  <si>
    <t>São Miguel Arcanjo II - JEC / JECRIM + Central de mandados</t>
  </si>
  <si>
    <t>Agudos I - Fórum Principal</t>
  </si>
  <si>
    <t>Campos do Jordão I - Fórum Principal</t>
  </si>
  <si>
    <t>52ª CJ - Itapecerica da Serra</t>
  </si>
  <si>
    <t>Embu das Artes I - Fórum Principal</t>
  </si>
  <si>
    <t>Mairinque I - Fórum Principal</t>
  </si>
  <si>
    <t>Martinópolis I - Fórum Principal</t>
  </si>
  <si>
    <t>Mirassol I - Fórum Principal</t>
  </si>
  <si>
    <t>Santos I - Fórum Principal</t>
  </si>
  <si>
    <t>Santos III - JEC / JECRIM - Vara + Psicossocial</t>
  </si>
  <si>
    <t>São Pedro I - Fórum Principal</t>
  </si>
  <si>
    <t>Mirassol II - Execuções fiscais - Ofício</t>
  </si>
  <si>
    <t>30ª CJ - Tupã</t>
  </si>
  <si>
    <t>Flórida Paulista I - Fórum Principal</t>
  </si>
  <si>
    <t>Araçatuba III - Unidade(s) Administrativa(s) + CEJUSC</t>
  </si>
  <si>
    <t>28ª CJ - Presidente Venceslau</t>
  </si>
  <si>
    <t>Presidente Epitácio II - CEJUSC</t>
  </si>
  <si>
    <t>Araçatuba IV - DEECRIM + Execuções criminais - Ofício</t>
  </si>
  <si>
    <t>DEECRIM</t>
  </si>
  <si>
    <t>Araçatuba V - Psicossocial</t>
  </si>
  <si>
    <t>Rancharia III - Arquivo / Acervo (Prefeitura e órgãos da prefeitura)</t>
  </si>
  <si>
    <t>Prefeitura e órgãos da prefeitura</t>
  </si>
  <si>
    <t>Agudos III - CEJUSC (Prefeitura e órgãos da prefeitura)</t>
  </si>
  <si>
    <t>Mirassol IV - CEJUSC</t>
  </si>
  <si>
    <t>Taubaté VI - Psicossocial</t>
  </si>
  <si>
    <t>Adamantina I - Fórum Principal</t>
  </si>
  <si>
    <t>Fartura I - Fórum Principal</t>
  </si>
  <si>
    <t>21ª CJ - Registro</t>
  </si>
  <si>
    <t>Iguape I - Fórum Principal</t>
  </si>
  <si>
    <t>Ilha Solteira I - Fórum Principal</t>
  </si>
  <si>
    <t>40ª CJ - Ituverava</t>
  </si>
  <si>
    <t>Ipuã I - Fórum Principal</t>
  </si>
  <si>
    <t>Itapecerica da Serra I - Fórum Principal</t>
  </si>
  <si>
    <t>41ª CJ - Ribeirão Preto</t>
  </si>
  <si>
    <t>Jardinópolis I - Fórum Principal</t>
  </si>
  <si>
    <t>33ª CJ - Jaú</t>
  </si>
  <si>
    <t>Jaú I - Fórum Principal</t>
  </si>
  <si>
    <t>Jundiaí I - Fórum Principal</t>
  </si>
  <si>
    <t>Macaubal I - Fórum Principal</t>
  </si>
  <si>
    <t>44ª CJ - Guarulhos</t>
  </si>
  <si>
    <t>Mairiporã I - Fórum Principal</t>
  </si>
  <si>
    <t>Paranapanema I - Fórum Principal</t>
  </si>
  <si>
    <t>Pariquera-Açu I - Fórum Principal</t>
  </si>
  <si>
    <t>Piedade I - Fórum Principal</t>
  </si>
  <si>
    <t>Presidente Epitácio I - Fórum Principal</t>
  </si>
  <si>
    <t>15ª CJ - Catanduva</t>
  </si>
  <si>
    <t>Santa Adélia I - Fórum Principal</t>
  </si>
  <si>
    <t>25ª CJ - Ourinhos</t>
  </si>
  <si>
    <t>Santa Cruz do Rio Pardo I - Fórum Principal</t>
  </si>
  <si>
    <t>São Bento do Sapucaí I - Fórum Principal</t>
  </si>
  <si>
    <t>Taubaté II - Fórum Cível</t>
  </si>
  <si>
    <t>51ª CJ - Caraguatatuba</t>
  </si>
  <si>
    <t>Ubatuba I - Fórum Principal</t>
  </si>
  <si>
    <t>São Paulo - Fórum Regional IV - Lapa</t>
  </si>
  <si>
    <t>São Paulo - Oficinas</t>
  </si>
  <si>
    <t>Oficinas</t>
  </si>
  <si>
    <t>Paranapanema II - JEC / JECRIM</t>
  </si>
  <si>
    <t>Ipuã II - CEJUSC + JEC / JECRIM</t>
  </si>
  <si>
    <t>20ª CJ - Itu</t>
  </si>
  <si>
    <t>Indaiatuba V - CEJUSC (UNIMAX)</t>
  </si>
  <si>
    <t>Mairiporã II - Execuções fiscais - Ofício (Imóvel comercial)</t>
  </si>
  <si>
    <t>Santa Adélia II - JEC / JECRIM + Arquivo / Acervo + CEJUSC</t>
  </si>
  <si>
    <t>Jaú II - Psicossocial</t>
  </si>
  <si>
    <t>Itapetininga III - CEJUSC</t>
  </si>
  <si>
    <t>Jardinópolis II - CEJUSC</t>
  </si>
  <si>
    <t>Paranapanema III - Execuções fiscais - Ofício</t>
  </si>
  <si>
    <t>23ª CJ - Botucatu</t>
  </si>
  <si>
    <t>Conchas V - Fórum Principal</t>
  </si>
  <si>
    <t>Assis V - CEJUSC (Polícia)</t>
  </si>
  <si>
    <t>Chavantes IV - Fórum Principal</t>
  </si>
  <si>
    <t>Bauru I - Fórum Principal</t>
  </si>
  <si>
    <t>Birigui I - Fórum Principal</t>
  </si>
  <si>
    <t>Campinas V - Fórum Regional Vila Mimosa</t>
  </si>
  <si>
    <t>Catanduva I - Fórum Principal</t>
  </si>
  <si>
    <t>Dois Córregos I - Fórum Principal</t>
  </si>
  <si>
    <t>Embu-Guaçu I - Fórum Principal</t>
  </si>
  <si>
    <t>Ferraz de Vasconcelos I - Fórum Principal</t>
  </si>
  <si>
    <t>42ª CJ - Jaboticabal</t>
  </si>
  <si>
    <t>Guariba I - Fórum Principal</t>
  </si>
  <si>
    <t>Guarujá I - Fórum Principal</t>
  </si>
  <si>
    <t>Itatiba I - Fórum Principal</t>
  </si>
  <si>
    <t>Ituverava I - Fórum Principal</t>
  </si>
  <si>
    <t>Mauá I - Fórum Principal</t>
  </si>
  <si>
    <t>Mirandópolis I - Fórum Principal</t>
  </si>
  <si>
    <t>Olímpia I - Fórum Principal</t>
  </si>
  <si>
    <t>46ª CJ - São José dos Campos</t>
  </si>
  <si>
    <t>Paraibuna I - Fórum Principal</t>
  </si>
  <si>
    <t>Paulo de Faria I - Fórum Principal</t>
  </si>
  <si>
    <t>Piquete I - Fórum Principal</t>
  </si>
  <si>
    <t>Santa Bárbara d'Oeste I - Fórum Principal</t>
  </si>
  <si>
    <t>São Carlos II - Fórum Cível</t>
  </si>
  <si>
    <t>43ª CJ - Casa Branca</t>
  </si>
  <si>
    <t>São Sebastião da Grama I - Fórum Principal</t>
  </si>
  <si>
    <t>Tanabi I - Fórum Principal</t>
  </si>
  <si>
    <t>55ª CJ - Jales</t>
  </si>
  <si>
    <t>Urânia I - Fórum Principal</t>
  </si>
  <si>
    <t>São Paulo - Fórum Criminal - Complexo Judiciário Ministro Mário Guimarães</t>
  </si>
  <si>
    <t>São Paulo - Fórum Fazenda Pública - Hely Lopes Meirelles</t>
  </si>
  <si>
    <t>Maracaí II - CEJUSC + JEC / JECRIM + Justiça Restaurativa</t>
  </si>
  <si>
    <t>Tanabi II - CEJUSC + JEC / JECRIM + Psicossocial + Central de mandados (Rodoviária)</t>
  </si>
  <si>
    <t>Rodoviária</t>
  </si>
  <si>
    <t>49ª CJ - Itapeva</t>
  </si>
  <si>
    <t>Apiaí I - Fórum Principal</t>
  </si>
  <si>
    <t>São Paulo - Fórum Regional II - Santo Amaro - Alexandre Dumas</t>
  </si>
  <si>
    <t>Em reforma / Projeto</t>
  </si>
  <si>
    <t>Assis III - JEC / JECRIM</t>
  </si>
  <si>
    <t>Jundiaí II - Execuções fiscais - Ofício</t>
  </si>
  <si>
    <t>São Paulo - JEC / JECRIM XIII + CEJUSC - Itaquera-Guaianases</t>
  </si>
  <si>
    <t>Poá III - Execuções fiscais - Ofício + Central de mandados</t>
  </si>
  <si>
    <t>Guarujá II - Fazenda pública - Vara (Prefeitura e órgãos da prefeitura)</t>
  </si>
  <si>
    <t>São Paulo - GADE V - 9 de Julho</t>
  </si>
  <si>
    <t>GADE</t>
  </si>
  <si>
    <t>Indaiatuba II - JEC / JECRIM</t>
  </si>
  <si>
    <t>Indaiatuba III - Execuções fiscais - Ofício</t>
  </si>
  <si>
    <t>Catanduva II - Execuções fiscais - Ofício</t>
  </si>
  <si>
    <t>Guarujá III - JEC / JECRIM - Vara + Família / Sucessões - Vara</t>
  </si>
  <si>
    <t>Araras II - Execuções fiscais - Ofício (Prefeitura e órgãos da prefeitura)</t>
  </si>
  <si>
    <t>Monte Alto III - JEC / JECRIM + Central de mandados + Psicossocial</t>
  </si>
  <si>
    <t>Mirandópolis II - JEC / JECRIM + Psicossocial</t>
  </si>
  <si>
    <t>Bauru V - Psicossocial</t>
  </si>
  <si>
    <t>São Sebastião da Grama II - JEC / JECRIM + CEJUSC  (Imóvel comercial)</t>
  </si>
  <si>
    <t>Catanduva III - CEJUSC + Psicossocial</t>
  </si>
  <si>
    <t>Araras III - CEJUSC (UNAR)</t>
  </si>
  <si>
    <t>Teodoro Sampaio I - Fórum Principal</t>
  </si>
  <si>
    <t>Franca III - CEJUSC (FDF)</t>
  </si>
  <si>
    <t>Monte Alto IV - CEJUSC</t>
  </si>
  <si>
    <t>Piedade III - CEJUSC</t>
  </si>
  <si>
    <t>Urânia II - CEJUSC (Prefeitura e órgãos da prefeitura)</t>
  </si>
  <si>
    <t>Santa Cruz do Rio Pardo II - CEJUSC + JEC / JECRIM (Prefeitura e órgãos da prefeitura)</t>
  </si>
  <si>
    <t>São Sebastião da Grama III - Psicossocial + Arquivo / Acervo  (Imóvel comercial)</t>
  </si>
  <si>
    <t>Rio Claro V - Estacionamento</t>
  </si>
  <si>
    <t>Maracaí III - Criminal - Ofício</t>
  </si>
  <si>
    <t>Criminal - Ofício</t>
  </si>
  <si>
    <t>Bilac II - Arquivo / Acervo</t>
  </si>
  <si>
    <t>Poá IV - Terreno</t>
  </si>
  <si>
    <t>Terreno</t>
  </si>
  <si>
    <t>Taquarituba II - CEJUSC</t>
  </si>
  <si>
    <t>Adamantina III - UAAJ (UNIFAI)</t>
  </si>
  <si>
    <t>Paulo de Faria II - CEJUSC + JEC / JECRIM</t>
  </si>
  <si>
    <t>Franca V - JEC / JECRIM (UNESP)</t>
  </si>
  <si>
    <t>Franca VI - CEJUSC (Polícia)</t>
  </si>
  <si>
    <t>56ª CJ - Itanhaém</t>
  </si>
  <si>
    <t>Peruíbe II - Violência doméstica / Familiar / Mulher - Ofício</t>
  </si>
  <si>
    <t>Violência doméstica / Familiar / Mulher - Ofício</t>
  </si>
  <si>
    <t>Adamantina IV - CEJUSC (Polícia)</t>
  </si>
  <si>
    <t>Catanduva IV - CEJUSC (UNIFIPA)</t>
  </si>
  <si>
    <t>Catanduva V - CEJUSC (Polícia)</t>
  </si>
  <si>
    <t>São Vicente VII - CEJUSC (Defensoria Pública)</t>
  </si>
  <si>
    <t>Defensoria Pública</t>
  </si>
  <si>
    <t>Santo André III - Perícia Cíveis (Imóvel comercial)</t>
  </si>
  <si>
    <t>Ourinhos IV - CEJUSC Salto Grande</t>
  </si>
  <si>
    <t>Urupês II -  Outros (PREFEITURA)</t>
  </si>
  <si>
    <t>Urânia III - Terreno</t>
  </si>
  <si>
    <t>Catanduva VI - Terreno</t>
  </si>
  <si>
    <t>Santa Fé do Sul IV - UDAJ Três Fronteiras</t>
  </si>
  <si>
    <t>UDAJ</t>
  </si>
  <si>
    <t>Mogi das Cruzes I - Fórum Principal</t>
  </si>
  <si>
    <t>Piraju I - Fórum Principal</t>
  </si>
  <si>
    <t>Presidente Prudente I - Fórum Principal</t>
  </si>
  <si>
    <t>Taquaritinga I - Fórum Principal</t>
  </si>
  <si>
    <t>Olímpia V - CEJUSC</t>
  </si>
  <si>
    <t>Cachoeira Paulista I - Fórum Principal</t>
  </si>
  <si>
    <t>35ª CJ - Lins</t>
  </si>
  <si>
    <t>Cafelândia I - Fórum Principal</t>
  </si>
  <si>
    <t>Carapicuíba I - Fórum Principal</t>
  </si>
  <si>
    <t>Conchal I - Fórum Principal</t>
  </si>
  <si>
    <t>Cosmópolis I - Fórum Principal</t>
  </si>
  <si>
    <t>Cubatão I - Fórum Principal</t>
  </si>
  <si>
    <t>Ibiúna I - Fórum Principal</t>
  </si>
  <si>
    <t>Iepê I - Fórum Principal</t>
  </si>
  <si>
    <t>Indaiatuba I - Fórum Principal</t>
  </si>
  <si>
    <t>Itapira I - Fórum Principal</t>
  </si>
  <si>
    <t>Itatinga I - Fórum Principal</t>
  </si>
  <si>
    <t>Lorena I - Fórum Principal</t>
  </si>
  <si>
    <t>Mongaguá I - Fórum Principal</t>
  </si>
  <si>
    <t>Monte Alto I - Fórum Principal</t>
  </si>
  <si>
    <t>Pitangueiras I - Fórum Principal</t>
  </si>
  <si>
    <t>Registro I - Fórum Principal</t>
  </si>
  <si>
    <t>Salesópolis I - Fórum Principal</t>
  </si>
  <si>
    <t>São Carlos I - Fórum Criminal</t>
  </si>
  <si>
    <t>Taquarituba I - Fórum Principal</t>
  </si>
  <si>
    <t>Amparo III - CEJUSC + JEC / JECRIM</t>
  </si>
  <si>
    <t>São Paulo - Unidade(s) administrativa(s) IV - Ipiranga</t>
  </si>
  <si>
    <t>Grupos e Câmaras</t>
  </si>
  <si>
    <t>Ibiúna II - Execuções fiscais - Ofício + CEJUSC + JEC / JECRIM + Psicossocial (Imóvel comercial)</t>
  </si>
  <si>
    <t>Cubatão II - Execuções fiscais - Ofício + Psicossocial + Central de mandados + Arquivo / Acervo</t>
  </si>
  <si>
    <t>Itatinga II - JEC / JECRIM</t>
  </si>
  <si>
    <t>2ª CJ - São Bernardo do Campo</t>
  </si>
  <si>
    <t>Diadema V - Fazenda pública - Vara</t>
  </si>
  <si>
    <t>Fazenda pública - Vara</t>
  </si>
  <si>
    <t>Monte Alto II - Vara(s) judicial(is)</t>
  </si>
  <si>
    <t>Vara(s) judicial(is)</t>
  </si>
  <si>
    <t>Santa Fé do Sul II - UAAJ (UNIFUNEC)</t>
  </si>
  <si>
    <t>Barra Bonita II - CEJUSC</t>
  </si>
  <si>
    <t>Olímpia VI - UAAJ Cajobi</t>
  </si>
  <si>
    <t>UAAJ</t>
  </si>
  <si>
    <t>Carapicuíba III - Arquivo / Acervo (Imóvel comercial)</t>
  </si>
  <si>
    <t>Birigui III - CEJUSC (Polícia)</t>
  </si>
  <si>
    <t>Presidente Prudente IV - CEJUSC (Prefeitura e órgãos da prefeitura)</t>
  </si>
  <si>
    <t>Jacareí I - Fórum Principal</t>
  </si>
  <si>
    <t>Tupã I - Fórum Principal</t>
  </si>
  <si>
    <t>Olímpia II - Cível - Vara</t>
  </si>
  <si>
    <t>Cível - Vara</t>
  </si>
  <si>
    <t>São Paulo - Fórum Execuções Fiscais - Prédio II</t>
  </si>
  <si>
    <t>Olímpia III - JEC / JECRIM</t>
  </si>
  <si>
    <t>Jacareí II - JEC / JECRIM</t>
  </si>
  <si>
    <t>Jacareí III - Fazenda pública - Vara</t>
  </si>
  <si>
    <t>São Paulo - Fórum Execuções Fiscais - Prédio I</t>
  </si>
  <si>
    <t>Piedade II - JEC / JECRIM (Imóvel comercial)</t>
  </si>
  <si>
    <t>Diadema I - Fórum Cível</t>
  </si>
  <si>
    <t>Diadema III - JEC / JECRIM</t>
  </si>
  <si>
    <t>Louveira I - Fórum Principal</t>
  </si>
  <si>
    <t>Botucatu I - Fórum Principal</t>
  </si>
  <si>
    <t>Sumaré III - CEJUSC</t>
  </si>
  <si>
    <t>Fernandópolis V - JEC / JECRIM (UNIBRASIL)</t>
  </si>
  <si>
    <t>Iepê II - JEC / JECRIM Nantes (Biblioteca Municipal)</t>
  </si>
  <si>
    <t>Biblioteca Municipal</t>
  </si>
  <si>
    <t>Cachoeira Paulista II - CEJUSC</t>
  </si>
  <si>
    <t>Fernandópolis VI - JEC / JECRIM (FEF)</t>
  </si>
  <si>
    <t>Aparecida I - Fórum Principal</t>
  </si>
  <si>
    <t>Cunha I - Fórum Principal</t>
  </si>
  <si>
    <t>Diadema II - Fórum Criminal</t>
  </si>
  <si>
    <t>Mogi Mirim I - Fórum Principal</t>
  </si>
  <si>
    <t>Nova Odessa I - Fórum Principal</t>
  </si>
  <si>
    <t>Pindamonhangaba I - Fórum Principal</t>
  </si>
  <si>
    <t>Presidente Bernardes I - Fórum Cível</t>
  </si>
  <si>
    <t>Quatá I - Fórum Principal</t>
  </si>
  <si>
    <t>Sorocaba I - Fórum Principal</t>
  </si>
  <si>
    <t>São Paulo - Fórum Regional II - Santo Amaro - Adolfo Pinheiro</t>
  </si>
  <si>
    <t>Campinas II - Fórum Principal (Cidade Judiciária)</t>
  </si>
  <si>
    <t>Mauá III - CEJUSC + Execuções fiscais - Ofício</t>
  </si>
  <si>
    <t>Mogi das Cruzes III - Fazenda pública - Vara + Execuções fiscais - Ofício</t>
  </si>
  <si>
    <t>Sorocaba II - Unidade(s) Administrativa(s) + Psicossocial + DEECRIM</t>
  </si>
  <si>
    <t>Mogi Mirim II - Execuções fiscais - Ofício</t>
  </si>
  <si>
    <t>Mogi Mirim III - CEJUSC + JEC / JECRIM + Colégio Recursal</t>
  </si>
  <si>
    <t>Suzano II - CEJUSC (Prefeitura e órgãos da prefeitura)</t>
  </si>
  <si>
    <t>Tupã III - CEJUSC (Imóvel destinado para serviços públicos)</t>
  </si>
  <si>
    <t>Sala ou espaço em imóvel compartilhado</t>
  </si>
  <si>
    <t>Imóvel destinado para serviços públicos</t>
  </si>
  <si>
    <t>Sorocaba IV - CEJUSC Central</t>
  </si>
  <si>
    <t>Santo André II - CEJUSC</t>
  </si>
  <si>
    <t>Mogi das Cruzes II - Fórum Criminal</t>
  </si>
  <si>
    <t>Sorocaba VII - JEC / JECRIM</t>
  </si>
  <si>
    <t>Sorocaba XII - CEJUSC Araçoiaba da Serra (Rodoviária)</t>
  </si>
  <si>
    <t>Guará II - Terreno</t>
  </si>
  <si>
    <t>Taboão da Serra V - Violência doméstica / Familiar / Mulher - Ofício (Imóvel destinado para serviços públicos)</t>
  </si>
  <si>
    <t>Atibaia I - Fórum Principal</t>
  </si>
  <si>
    <t>Cajuru I - Fórum Principal</t>
  </si>
  <si>
    <t>Lucélia I - Fórum Principal</t>
  </si>
  <si>
    <t>Pontal I - Fórum Principal</t>
  </si>
  <si>
    <t>Presidente Venceslau I - Fórum Principal</t>
  </si>
  <si>
    <t>Ribeirão Preto I - Fórum Principal</t>
  </si>
  <si>
    <t>Santa Rita do Passa Quatro I - Fórum Principal</t>
  </si>
  <si>
    <t>Serra Negra I - Fórum Principal</t>
  </si>
  <si>
    <t>Vargem Grande do Sul I - Fórum Principal</t>
  </si>
  <si>
    <t>Francisco Morato II - CEJUSC + Execuções fiscais - Ofício</t>
  </si>
  <si>
    <t>Socorro II - JEC / JECRIM (Imóvel comercial)</t>
  </si>
  <si>
    <t>Atibaia II - CEJUSC</t>
  </si>
  <si>
    <t>Novo Horizonte II - CEJUSC</t>
  </si>
  <si>
    <t>Presidente Bernardes II - CEJUSC</t>
  </si>
  <si>
    <t>Bastos I - Fórum Principal</t>
  </si>
  <si>
    <t>Bilac I - Fórum Principal</t>
  </si>
  <si>
    <t>Cerqueira César</t>
  </si>
  <si>
    <t>Cerqueira César I - Fórum Principal</t>
  </si>
  <si>
    <t>Jandira I - Fórum Principal</t>
  </si>
  <si>
    <t>Palestina I - Fórum Principal</t>
  </si>
  <si>
    <t>Pirapozinho I - Fórum Principal</t>
  </si>
  <si>
    <t>Poá I - Fórum</t>
  </si>
  <si>
    <t>São Manuel I - Fórum Principal</t>
  </si>
  <si>
    <t>São Sebastião II - Fórum Principal</t>
  </si>
  <si>
    <t>Suzano I - Fórum Principal</t>
  </si>
  <si>
    <t>Valinhos II - JEC / JECRIM - Vara + CEJUSC</t>
  </si>
  <si>
    <t>Valinhos III - Execuções fiscais - Ofício</t>
  </si>
  <si>
    <t>Itapetininga II - Fórum Criminal</t>
  </si>
  <si>
    <t>Lençóis Paulista II - Execuções fiscais - Ofício</t>
  </si>
  <si>
    <t>Lençóis Paulista III - CEJUSC</t>
  </si>
  <si>
    <t>Presidente Venceslau II - CEJUSC</t>
  </si>
  <si>
    <t>São Manuel II - Arquivo / Acervo</t>
  </si>
  <si>
    <t>Poá II - CEJUSC (Imóvel destinado para serviços públicos)</t>
  </si>
  <si>
    <t>São Paulo - CEJUSC II - Central (Associação Comercial)</t>
  </si>
  <si>
    <t>Associação Comercial</t>
  </si>
  <si>
    <t>Ipaussu IV - Fórum Principal</t>
  </si>
  <si>
    <t>Macatuba I - Fórum Principal</t>
  </si>
  <si>
    <t>Ribeirão Pires I - Fórum Principal</t>
  </si>
  <si>
    <t>São Paulo - Grupos e Câmaras IV - Páteo do Colégio</t>
  </si>
  <si>
    <t>Ribeirão Pires II - Execuções fiscais - Ofício</t>
  </si>
  <si>
    <t>Fernandópolis II - Execuções fiscais - Ofício</t>
  </si>
  <si>
    <t>Dois Córregos II - Arquivo / Acervo</t>
  </si>
  <si>
    <t>Porto Ferreira II - Execuções fiscais - Ofício + Psicossocial</t>
  </si>
  <si>
    <t>Piraju II - JEC / JECRIM</t>
  </si>
  <si>
    <t>Taboão da Serra III - Arquivo / Acervo</t>
  </si>
  <si>
    <t>Tupã II - Arquivo / Acervo (Departamento de Estrada e Rodagem)</t>
  </si>
  <si>
    <t>Departamento de Estrada e Rodagem</t>
  </si>
  <si>
    <t>Cafelândia II - JEC / JECRIM + CEJUSC</t>
  </si>
  <si>
    <t>Ribeirão Pires III - CEJUSC (Prefeitura e órgãos da prefeitura)</t>
  </si>
  <si>
    <t>São Paulo - CEJUSC I - Central (Prefeitura e órgãos da Prefeitura)</t>
  </si>
  <si>
    <t>Ibaté I - Fórum Principal</t>
  </si>
  <si>
    <t>Tietê I - Fórum Principal</t>
  </si>
  <si>
    <t>Vargem Grande Paulista I - Fórum Principal</t>
  </si>
  <si>
    <t>São Paulo - Fórum Central - João Mendes Júnior</t>
  </si>
  <si>
    <t>Barretos II - Grupos e Câmaras + CEJUSC</t>
  </si>
  <si>
    <t>Iguape IV - CEJUSC + JEC / JECRIM + Execuções fiscais - Ofício + Central de mandados + Cível - Ofício + Psicossocial</t>
  </si>
  <si>
    <t>Arujá I - Vara(s) judicial(is) + Almoxarifado + Ofício(s) da(s) vara(s) judicial(is)</t>
  </si>
  <si>
    <t>Barra Bonita I - Fórum Principal</t>
  </si>
  <si>
    <t>17ª CJ - Votuporanga</t>
  </si>
  <si>
    <t>Nhandeara I - Fórum Principal</t>
  </si>
  <si>
    <t>São Luiz do Paraitinga I - Fórum Principal</t>
  </si>
  <si>
    <t>Valparaíso I - Fórum Principal</t>
  </si>
  <si>
    <t>Pirangi I - Fórum Principal</t>
  </si>
  <si>
    <t>Nhandeara II - JEC / JECRIM + Psicossocial</t>
  </si>
  <si>
    <t>Valparaíso II - JEC / JECRIM + Arquivo / Acervo</t>
  </si>
  <si>
    <t>Arujá II - Ofício(s) da(s) vara(s) judicial(is) + Central de mandados + Unidade(s) Administrativa(s)</t>
  </si>
  <si>
    <t>Ofício(s) da(s) vara(s) judicial(is)</t>
  </si>
  <si>
    <t>Arujá IV - Execuções fiscais - Ofício</t>
  </si>
  <si>
    <t>Osvaldo Cruz II - CEJUSC</t>
  </si>
  <si>
    <t>Nhandeara III - Arquivo / Acervo (Imóvel destinado para serviços públicos)</t>
  </si>
  <si>
    <t>Peruíbe I - Fórum Principal</t>
  </si>
  <si>
    <t>Santos II - Fórum Cível</t>
  </si>
  <si>
    <t>São Paulo - Fórum Regional I  - Santana</t>
  </si>
  <si>
    <t>Franca I - Fórum Principal</t>
  </si>
  <si>
    <t>Santana de Parnaíba II - CEJUSC Pirapora do Bom Jesus (Centro de Integração e Cidadania)</t>
  </si>
  <si>
    <t>Centro de Integração e Cidadania</t>
  </si>
  <si>
    <t>Iacanga I - Fórum Principal</t>
  </si>
  <si>
    <t>Itajobi I - Fórum Principal</t>
  </si>
  <si>
    <t>Itaporanga I - Fórum Principal</t>
  </si>
  <si>
    <t>Porto Feliz I - Fórum Principal</t>
  </si>
  <si>
    <t>Tabapuã I - Fórum Principal</t>
  </si>
  <si>
    <t>Taboão da Serra I - Fórum Principal</t>
  </si>
  <si>
    <t>Buri I - Fórum Principal</t>
  </si>
  <si>
    <t>São Paulo - GADE IV - 23 de Maio</t>
  </si>
  <si>
    <t>Santana de Parnaíba I - Fórum Principal</t>
  </si>
  <si>
    <t>Cesário Lange I - Fórum Principal</t>
  </si>
  <si>
    <t>Barretos IV - CEJUSC (Faculdade Barretos)</t>
  </si>
  <si>
    <t>São Paulo - GADE II - Conselheiro Furtado 705</t>
  </si>
  <si>
    <t>Pinhalzinho I - Fórum Principal</t>
  </si>
  <si>
    <t>São Paulo - GADE I - Conselheiro Furtado 669</t>
  </si>
  <si>
    <t>São Paulo - GADE III - Conselheiro Furtado 688</t>
  </si>
  <si>
    <t>Buritama I - Fórum Principal</t>
  </si>
  <si>
    <t>Taubaté III - Fazenda pública - Vara</t>
  </si>
  <si>
    <t>Taubaté IV - Execuções criminais - Ofício</t>
  </si>
  <si>
    <t>Execuções criminais - Ofício</t>
  </si>
  <si>
    <t>São Paulo - Fórum Regional X - Ipiranga</t>
  </si>
  <si>
    <t>Araçatuba I - Fórum Principal</t>
  </si>
  <si>
    <t>Taubaté I - Fórum Criminal</t>
  </si>
  <si>
    <t>Araçatuba II - Fazenda pública - Vara + Ofício(s) da(s) vara(s) judicial(is)</t>
  </si>
  <si>
    <t>São Paulo - Unidade(s) Administrativa(s) I - Praça do Patriarca</t>
  </si>
  <si>
    <t>Ribeirão Preto II - Infância / Juventude / Idoso - Ofício + Violência doméstica / Familiar / Mulher - Ofício + Justiça restaurativa (Imóvel destinado para serviços públicos)</t>
  </si>
  <si>
    <t>Ribeirão Preto III - Unidade(s) Administrativa(s) + Psicossocial</t>
  </si>
  <si>
    <t>Bebedouro I - Fórum Principal</t>
  </si>
  <si>
    <t>Votuporanga II -Execuções fiscais - Ofício</t>
  </si>
  <si>
    <t>Americana III - CEJUSC (UNISAL)</t>
  </si>
  <si>
    <t>Monte Aprazível II - JEC / JECRIM + CEJUSC + Arquivo / Acervo</t>
  </si>
  <si>
    <t>São Carlos IV - CEJUSC (Imóvel destinado para serviços públicos)</t>
  </si>
  <si>
    <t>Monte Aprazível I - Fórum Principal</t>
  </si>
  <si>
    <t>Votuporanga I - Fórum Principal</t>
  </si>
  <si>
    <t>Urupês I - Fórum Principal</t>
  </si>
  <si>
    <t>São Paulo - Fórum Regional IX - Vila Prudente</t>
  </si>
  <si>
    <t>Cafelândia III - UAAJ Júlio Mesquita (Polícia)</t>
  </si>
  <si>
    <t>39ª CJ - Batatais</t>
  </si>
  <si>
    <t>Orlândia I - Fórum Principal</t>
  </si>
  <si>
    <t>Bariri I - Fórum Principal</t>
  </si>
  <si>
    <t>Bariri II - JEC / JECRIM + Psicossocial + CEJUSC</t>
  </si>
  <si>
    <t>Conchal II - CEJUSC (Câmara municipal)</t>
  </si>
  <si>
    <t>Câmara municipal</t>
  </si>
  <si>
    <t>Osvaldo Cruz I - Fórum Principal</t>
  </si>
  <si>
    <t>São Vicente V - Arquivo / Acervo + Almoxarifado</t>
  </si>
  <si>
    <t>Cananéia I - Fórum Principal</t>
  </si>
  <si>
    <t>Estrela dOeste</t>
  </si>
  <si>
    <t>Estrela dOeste I - Fórum Principal</t>
  </si>
  <si>
    <t>Juquiá I - Fórum Principal</t>
  </si>
  <si>
    <t>Pirajuí I - Fórum Principal</t>
  </si>
  <si>
    <t>Santa Fé do Sul I - Fórum Principal</t>
  </si>
  <si>
    <t>Andradina II - JEC / JECRIM - Vara + Execuções fiscais - Ofício</t>
  </si>
  <si>
    <t>Guarulhos I - Fórum Criminal</t>
  </si>
  <si>
    <t>Birigui II - Depósito</t>
  </si>
  <si>
    <t>Depósito</t>
  </si>
  <si>
    <t>Cordeirópolis I - Fórum Principal</t>
  </si>
  <si>
    <t>São José do Rio Preto I - Fórum Principal</t>
  </si>
  <si>
    <t>São José do Rio Preto II - Fórum Cível</t>
  </si>
  <si>
    <t>Barretos III - JEC / JECRIM (UNIFEB)</t>
  </si>
  <si>
    <t>São Paulo - Terreno V - Luiz Ayres</t>
  </si>
  <si>
    <t>São Vicente III - JEC / JECRIM + Justiça restaurativa (Imóvel comercial)</t>
  </si>
  <si>
    <t>Tietê II - CEJUSC  (Imóvel destinado para serviços públicos)</t>
  </si>
  <si>
    <t>São Paulo - CEJUSC V - Santo Amaro/Grajaú (Centro de Integração e Cidadania)</t>
  </si>
  <si>
    <t>São Paulo - Terreno II - Alfredo Trindade</t>
  </si>
  <si>
    <t>São Paulo - Terreno III - Santo Amaro</t>
  </si>
  <si>
    <t>São Paulo - Terreno IV - Aicás</t>
  </si>
  <si>
    <t>São José do Rio Preto VII - Terreno</t>
  </si>
  <si>
    <t>São Paulo - Terreno I - Serra de Botucatu</t>
  </si>
  <si>
    <t>Sertãozinho IV -  Outros (PREFEITURA)</t>
  </si>
  <si>
    <t>Santa Rita do Passa Quatro II - Sem uso / Vazio</t>
  </si>
  <si>
    <t>Sem uso / Vazio</t>
  </si>
  <si>
    <t>Palmital II -  Outros (PREFEITURA)</t>
  </si>
  <si>
    <t>Mairinque II - Terreno</t>
  </si>
  <si>
    <t>Bauru XI - Terreno</t>
  </si>
  <si>
    <t>Andradina I - Fórum Principal</t>
  </si>
  <si>
    <t>Andradina III - Violência doméstica / Familiar / Mulher - Ofício + Almoxarifado</t>
  </si>
  <si>
    <t>Andradina IV - UAAJ Castilho (Detran)</t>
  </si>
  <si>
    <t>Detran</t>
  </si>
  <si>
    <t>Andradina VI - CEJUSC (Polícia)</t>
  </si>
  <si>
    <t>Boituva VIII - Fórum Principal</t>
  </si>
  <si>
    <t>Assis II - Fazenda pública - Vara (Imóvel destinado para serviços públicos)</t>
  </si>
  <si>
    <t>Assis I - Fórum Principal</t>
  </si>
  <si>
    <t>Assis IV - CEJUSC (Associação Comercial)</t>
  </si>
  <si>
    <t>Mirandópolis IV - Terreno</t>
  </si>
  <si>
    <t>Salto IV - Terreno</t>
  </si>
  <si>
    <t>Itatinga IV - Terreno</t>
  </si>
  <si>
    <t>Brodowski III - Terreno</t>
  </si>
  <si>
    <t>São Bernardo do Campo I - Fórum Principal</t>
  </si>
  <si>
    <t>Ibiúna III - Terreno</t>
  </si>
  <si>
    <t>São Sebastião da Grama IV - Terreno</t>
  </si>
  <si>
    <t>Ipuã III - Terreno</t>
  </si>
  <si>
    <t>Novo Horizonte III - JEC / JECRIM</t>
  </si>
  <si>
    <t>Monte Alto V - Terreno</t>
  </si>
  <si>
    <t>São Bernardo do Campo III - JEC / JECRIM (FDSBC)</t>
  </si>
  <si>
    <t>Santa Isabel II - JEC / JECRIM + Unidade(s) Administrativa(s) + Central de mandados + CEJUSC + Execuções fiscais - Ofício + Psicossocial</t>
  </si>
  <si>
    <t>Presidente Prudente V - Terreno</t>
  </si>
  <si>
    <t>Novo Horizonte I - Fórum Principal</t>
  </si>
  <si>
    <t>Viradouro I - Fórum Principal</t>
  </si>
  <si>
    <t>Guarulhos V - CEJUSC (UNG)</t>
  </si>
  <si>
    <t>Santa Isabel V - CEJUSC Igaratá (Imóvel destinado para serviços públicos)</t>
  </si>
  <si>
    <t>Guaratinguetá I - Fórum Principal</t>
  </si>
  <si>
    <t>Mogi das Cruzes VI - JEC / JECRIM (UNIBRAZCUBAS)</t>
  </si>
  <si>
    <t>Guarulhos IV - CEJUSC (Associação Comercial)</t>
  </si>
  <si>
    <t>Mogi das Cruzes VII - CEJUSC (Centro de Integração e Cidadania)</t>
  </si>
  <si>
    <t>Teodoro Sampaio II - UAAJ Euclides da Cunha Paulista (Prefeitura e órgãos da prefeitura)</t>
  </si>
  <si>
    <t>Tatuí III - Justiça restaurativa (Imóvel destinado para serviços públicos)</t>
  </si>
  <si>
    <t>Rio Grande da Serra II - Fórum Principal</t>
  </si>
  <si>
    <t>Vinhedo I - Fórum Principal</t>
  </si>
  <si>
    <t>Monte Mor III - CEJUSC Elias Fausto (Prefeitura e órgãos da prefeitura)</t>
  </si>
  <si>
    <t>Junqueirópolis II - CEJUSC (Prefeitura e órgãos da prefeitura)</t>
  </si>
  <si>
    <t>Itu V - Execuções fiscais - Ofício</t>
  </si>
  <si>
    <t>Vinhedo II - Execuções fiscais - Ofício (Imóvel destinado para serviços públicos)</t>
  </si>
  <si>
    <t>São Paulo - Fórum Regional XI - Pinheiros</t>
  </si>
  <si>
    <t>Araras V - Violência doméstica / Familiar / Mulher - Ofício</t>
  </si>
  <si>
    <t>Osasco VI - Fórum Principal</t>
  </si>
  <si>
    <t>Arujá VIII - CEJUSC</t>
  </si>
  <si>
    <t>Arujá VI - JEC / JECRIM</t>
  </si>
  <si>
    <t>Arujá III - Psicossocial</t>
  </si>
  <si>
    <t>Arujá V - Salão do Júri</t>
  </si>
  <si>
    <t>Salão do Júri</t>
  </si>
  <si>
    <t>Caconde I - Fórum Principal</t>
  </si>
  <si>
    <t>Mogi Guaçu I - Fórum Principal</t>
  </si>
  <si>
    <t>Santa Branca I - Fórum Principal</t>
  </si>
  <si>
    <t>Cerquilho II - CEJUSC</t>
  </si>
  <si>
    <t>Junqueirópolis I - Fórum Principal</t>
  </si>
  <si>
    <t>Campinas I - Fórum Principal (Palácio)</t>
  </si>
  <si>
    <t>Guarulhos II - Fórum Cível</t>
  </si>
  <si>
    <t>Maracaí I - Fórum Principal</t>
  </si>
  <si>
    <t>São José dos Campos I - Fórum Principal</t>
  </si>
  <si>
    <t>São José dos Campos II - CEJUSC + Arquivo / Acervo + Depósito + Execuções fiscais - Ofício</t>
  </si>
  <si>
    <t>Salto I - Fórum Principal</t>
  </si>
  <si>
    <t>Colina I - Fórum Principal</t>
  </si>
  <si>
    <t>Monte Azul Paulista I - Fórum Principal</t>
  </si>
  <si>
    <t>Fernandópolis III - CEJUSC</t>
  </si>
  <si>
    <t>Araraquara I - Fórum Principal</t>
  </si>
  <si>
    <t>Itararé I - Fórum Principal</t>
  </si>
  <si>
    <t>São Paulo - JEC / JECRIM XII - São Miguel Paulista (Centro de Integração e Cidadania)</t>
  </si>
  <si>
    <t>Iacanga III - CEJUSC (Imóvel destinado para serviços públicos)</t>
  </si>
  <si>
    <t>Santo André I - Fórum Principal</t>
  </si>
  <si>
    <t>Mirante do Paranapanema I - Fórum Principal</t>
  </si>
  <si>
    <t>Ouroeste I - Em reforma / Projeto</t>
  </si>
  <si>
    <t>Ouroeste II - Fórum Principal</t>
  </si>
  <si>
    <t>Caconde II - JEC / JECRIM</t>
  </si>
  <si>
    <t>Morro Agudo I - Fórum Principal</t>
  </si>
  <si>
    <t>Nuporanga I - Fórum Principal</t>
  </si>
  <si>
    <t>Ribeirão Bonito I - Fórum Principal</t>
  </si>
  <si>
    <t>Santa Rosa de Viterbo</t>
  </si>
  <si>
    <t>Santa Rosa de Viterbo I - Fórum Principal</t>
  </si>
  <si>
    <t>São Simão I - Fórum Principal</t>
  </si>
  <si>
    <t>Batatais II -JEC / JECRIM</t>
  </si>
  <si>
    <t>São Paulo - JEC / JECRIM XIV Itaquera (Poupatempo)</t>
  </si>
  <si>
    <t>Poupatempo</t>
  </si>
  <si>
    <t>Aguaí I - Fórum Principal</t>
  </si>
  <si>
    <t>Altinópolis I - Fórum Principal</t>
  </si>
  <si>
    <t>Batatais I - Fórum Principal</t>
  </si>
  <si>
    <t>São José do Rio Pardo I - Fórum Principal</t>
  </si>
  <si>
    <t>Casa Branca I - Fórum Principal</t>
  </si>
  <si>
    <t>Guará I - Fórum Principal</t>
  </si>
  <si>
    <t>Mococa I - Fórum Principal</t>
  </si>
  <si>
    <t>Ourinhos I - Fórum Principal</t>
  </si>
  <si>
    <t>Pedregulho I - Fórum Principal</t>
  </si>
  <si>
    <t>Casa Branca II - JEC / JECRIM + CEJUSC</t>
  </si>
  <si>
    <t>Ourinhos III - Justiça restaurativa</t>
  </si>
  <si>
    <t>Jaboticabal I - Fórum Principal</t>
  </si>
  <si>
    <t>São Joaquim da Barra I - Fórum Principal</t>
  </si>
  <si>
    <t>Itápolis II - Execuções fiscais - Ofício</t>
  </si>
  <si>
    <t>Jaboticabal III - Psicossocial</t>
  </si>
  <si>
    <t>Matão I - Fórum Principal</t>
  </si>
  <si>
    <t>Itápolis I - Fórum Principal</t>
  </si>
  <si>
    <t>Itápolis III - CEJUSC</t>
  </si>
  <si>
    <t>Américo Brasiliense I - Fórum Principal</t>
  </si>
  <si>
    <t>Brodowski I - Fórum Principal</t>
  </si>
  <si>
    <t>Igarapava I - Fórum Principal</t>
  </si>
  <si>
    <t>Monte Mor I - Fórum Principal</t>
  </si>
  <si>
    <t>Queluz II - Arquivo / Acervo</t>
  </si>
  <si>
    <t>Itapeva I - Fórum Principal</t>
  </si>
  <si>
    <t>Queluz I - Fórum Principal</t>
  </si>
  <si>
    <t>Serrana I - Fórum Principal</t>
  </si>
  <si>
    <t>Itapecerica da Serra II - CEJUSC</t>
  </si>
  <si>
    <t>Caraguatatuba V - Estacionamento</t>
  </si>
  <si>
    <t>Tambaú I - Fórum Principal</t>
  </si>
  <si>
    <t>Santa Cruz das Palmeiras II - CEJUSC + Psicossocial</t>
  </si>
  <si>
    <t>Getulina I - Fórum Principal</t>
  </si>
  <si>
    <t>Guararema I - Fórum Principal</t>
  </si>
  <si>
    <t>Rancharia I - Fórum Principal</t>
  </si>
  <si>
    <t>Rancharia II - JEC / JECRIM + CEJUSC + Psicossocial</t>
  </si>
  <si>
    <t>Bragança Paulista III - CEJUSC (USF)</t>
  </si>
  <si>
    <t>São Paulo  - Almoxarifado + Depósito</t>
  </si>
  <si>
    <t>Almoxarifado</t>
  </si>
  <si>
    <t>Ibitinga I - Fórum Principal</t>
  </si>
  <si>
    <t>Pindamonhangaba II - CEJUSC + JEC / JECRIM + Execuções fiscais - Ofício</t>
  </si>
  <si>
    <t>Paraibuna II - UDAJ</t>
  </si>
  <si>
    <t>Itu I - Fórum Principal</t>
  </si>
  <si>
    <t>Dracena III - CEJUSC (REGES)</t>
  </si>
  <si>
    <t>Tatuí II - UAAJ Capela do Alto (Prefeitura e órgãos da prefeitura)</t>
  </si>
  <si>
    <t>Campinas VI - JEC / JECRIM (PUC 2)</t>
  </si>
  <si>
    <t>Campinas X - CEJUSC (PUC)</t>
  </si>
  <si>
    <t>Leme III - CEJUSC</t>
  </si>
  <si>
    <t>Leme IV - JEC / JECRIM (Anhanguera)</t>
  </si>
  <si>
    <t>Campinas III - JEC / JECRIM (UNISAL)</t>
  </si>
  <si>
    <t>Cardoso I - Fórum Principal</t>
  </si>
  <si>
    <t>Cruzeiro I - Fórum Principal</t>
  </si>
  <si>
    <t>Franco da Rocha I - Fórum Principal</t>
  </si>
  <si>
    <t>Potirendaba I - Fórum Principal</t>
  </si>
  <si>
    <t>Cruzeiro III - CEJUSC</t>
  </si>
  <si>
    <t>Cruzeiro IV - Execuções fiscais - Ofício (Fundação particular)</t>
  </si>
  <si>
    <t>Fundação particular</t>
  </si>
  <si>
    <t>Bananal I - Fórum Principal</t>
  </si>
  <si>
    <t>Bragança Paulista I - Fórum Principal</t>
  </si>
  <si>
    <t>Cotia I - Fórum Principal</t>
  </si>
  <si>
    <t>Itariri I - Fórum Principal</t>
  </si>
  <si>
    <t>Salto de Pirapora I - Fórum Principal</t>
  </si>
  <si>
    <t>Osasco III - Fazenda pública - Vara (Prefeitura e órgãos da prefeitura)</t>
  </si>
  <si>
    <t>Santos V - DEECRIM + Central de mandados</t>
  </si>
  <si>
    <t>General Salgado II - CEJUSC (Polícia)</t>
  </si>
  <si>
    <t>Sertãozinho III - CEJUSC  (Polícia)</t>
  </si>
  <si>
    <t>Águas de Lindóia I - Fórum Principal</t>
  </si>
  <si>
    <t>Cabreúva I - Fórum Principal</t>
  </si>
  <si>
    <t>Jales I - Fórum Principal</t>
  </si>
  <si>
    <t>Neves Paulista I - Fórum Principal</t>
  </si>
  <si>
    <t>Osasco I - Fórum Principal</t>
  </si>
  <si>
    <t>Pederneiras I - Fórum Principal</t>
  </si>
  <si>
    <t>Pompéia I - Fórum Principal</t>
  </si>
  <si>
    <t>Salto II - Execuções fiscais - Ofício + JEC / JECRIM + Psicossocial</t>
  </si>
  <si>
    <t>Itaquaquecetuba I - Fórum Principal</t>
  </si>
  <si>
    <t>Osasco II - Família / Sucessões - Vara</t>
  </si>
  <si>
    <t>Família / Sucessões - Vara</t>
  </si>
  <si>
    <t>Águas de Lindóia II - JEC / JECRIM + Psicossocial</t>
  </si>
  <si>
    <t>Olímpia IV - Execuções fiscais - Ofício (Imóvel comercial)</t>
  </si>
  <si>
    <t>Bauru II - Fazenda pública - Vara + Família / Sucessões - Vara + CEJUSC</t>
  </si>
  <si>
    <t>São Paulo - Fórum Regional XV - Butantã</t>
  </si>
  <si>
    <t>Bauru III - Execuções criminais - Ofício</t>
  </si>
  <si>
    <t>Pederneiras II - CEJUSC + Execuções fiscais - Ofício (Imóvel destinado para serviços públicos)</t>
  </si>
  <si>
    <t>Bauru IV - DEECRIM + Unidade(s) Administrativa(s)</t>
  </si>
  <si>
    <t>Pederneiras III - Arquivo / Acervo + Depósito</t>
  </si>
  <si>
    <t>Salto III - CEJUSC + Central de mandados</t>
  </si>
  <si>
    <t>Jales II - JEC / JECRIM + Execuções fiscais - Ofício + Colégio Recursal</t>
  </si>
  <si>
    <t>Itaquaquecetuba II - CEJUSC (Imóvel comercial)</t>
  </si>
  <si>
    <t>Jales III - CEJUSC</t>
  </si>
  <si>
    <t>Osasco IV - CEJUSC</t>
  </si>
  <si>
    <t>Pompéia II - Arquivo / Acervo</t>
  </si>
  <si>
    <t>Bauru VII - CEJUSC Arealva (Prefeitura e órgãos da prefeitura)</t>
  </si>
  <si>
    <t>Campinas VIII - CEJUSC (UNIP)</t>
  </si>
  <si>
    <t>Osasco V - CEJUSC (Defensoria Pública)</t>
  </si>
  <si>
    <t>Bauru IX - Arquivo / Acervo (Prefeitura e órgãos da prefeitura)</t>
  </si>
  <si>
    <t>Bauru X - Arquivo / Acervo</t>
  </si>
  <si>
    <t>Eldorado I - Fórum Principal</t>
  </si>
  <si>
    <t>Vinhedo III - CEJUSC (Imóvel destinado para serviços públicos)</t>
  </si>
  <si>
    <t>Caconde IV - CEJUSC (Imóvel destinado para serviços públicos)</t>
  </si>
  <si>
    <t>Campinas IV - JEC / JECRIM (FACAMP)</t>
  </si>
  <si>
    <t>Campinas IX - CEJUSC (FACAMP)</t>
  </si>
  <si>
    <t>São Paulo - Fórum Regional III - Jabaquara</t>
  </si>
  <si>
    <t>Caconde III - CEJUSC Tapiratiba (Imóvel destinado para serviços públicos)</t>
  </si>
  <si>
    <t>São Paulo - GADE VI - MMDC</t>
  </si>
  <si>
    <t>São Paulo - Museu</t>
  </si>
  <si>
    <t>Museu</t>
  </si>
  <si>
    <t>Lins IV - CEJUSC (Polícia)</t>
  </si>
  <si>
    <t>Araraquara III - CEJUSC (UNIARA)</t>
  </si>
  <si>
    <t>Guararapes I - Fórum Principal</t>
  </si>
  <si>
    <t>Porangaba I - Fórum Principal</t>
  </si>
  <si>
    <t>São Paulo - Fórum Regional V - São Miguel Paulista</t>
  </si>
  <si>
    <t>Taboão da Serra II - Execuções fiscais - Ofício (Imóvel comercial)</t>
  </si>
  <si>
    <t>Taboão da Serra IV - CEJUSC (Imóvel destinado para serviços públicos)</t>
  </si>
  <si>
    <t>Guarujá IV - CEJUSC (UNAERP)</t>
  </si>
  <si>
    <t>Boituva II - JEC / JECRIM (Imóvel comercial)</t>
  </si>
  <si>
    <t>Limeira III - CEJUSC (Imóvel destinado para serviços públicos)</t>
  </si>
  <si>
    <t>Espírito Santo do Pinhal III - CEJUSC (UNIPINHAL)</t>
  </si>
  <si>
    <t>Boituva VII - CEJUSC (Imóvel comercial)</t>
  </si>
  <si>
    <t>São Vicente I - Fórum Principal</t>
  </si>
  <si>
    <t>Jales IV - UDAJ (UNIJALES)</t>
  </si>
  <si>
    <t>Guaíra I - Fórum Principal</t>
  </si>
  <si>
    <t>Lins I - Fórum Principal</t>
  </si>
  <si>
    <t>Batatais III - CEJUSC (Claretiano)</t>
  </si>
  <si>
    <t>Capão Bonito II - UAAJ Guapiara (Prefeitura e órgãos da prefeitura)</t>
  </si>
  <si>
    <t>Jaú III - JEC / JECRIM (FIJAU)</t>
  </si>
  <si>
    <t>Jacupiranga I - Fórum Principal</t>
  </si>
  <si>
    <t>Miracatu I - Fórum Principal</t>
  </si>
  <si>
    <t>São Manuel III - CEJUSC (FMR)</t>
  </si>
  <si>
    <t>Guararema II - CEJUSC</t>
  </si>
  <si>
    <t>Garça III - CEJUSC</t>
  </si>
  <si>
    <t>Pilar do Sul III - Terreno</t>
  </si>
  <si>
    <t>Bebedouro III - JEC / JECRIM + CEJUSC + Central de mandados</t>
  </si>
  <si>
    <t>São Roque I - Fórum Principal</t>
  </si>
  <si>
    <t>Serra Negra II - Unidade(s) Administrativa(s) + Central de mandados + Almoxarifado</t>
  </si>
  <si>
    <t>Serra Negra IV - Arquivo / Acervo + Almoxarifado</t>
  </si>
  <si>
    <t>São Paulo - CEJUSC III - Itaquera (Polícia)</t>
  </si>
  <si>
    <t>Garça I - Fórum Principal</t>
  </si>
  <si>
    <t>Itaberá I - Fórum Principal</t>
  </si>
  <si>
    <t>Panorama I - Fórum Principal</t>
  </si>
  <si>
    <t>Itatinga III - CEJUSC (Prefeitura e órgãos da prefeitura)</t>
  </si>
  <si>
    <t>Itaberá II - CEJUSC</t>
  </si>
  <si>
    <t>Boituva I - Fórum Principal</t>
  </si>
  <si>
    <t>Itapetininga IV - Justiça restaurativa (Imóvel destinado para serviços públicos)</t>
  </si>
  <si>
    <t>Itapira II - CEJUSC</t>
  </si>
  <si>
    <t>São João da Boa Vista II - CEJUSC + JEC / JECRIM (UNIFEOB)</t>
  </si>
  <si>
    <t>Garça IV - CEJUSC (Polícia)</t>
  </si>
  <si>
    <t>Serra Negra III - JEC / JECRIM + Psicossocial</t>
  </si>
  <si>
    <t>Itapevi I - Fórum Principal</t>
  </si>
  <si>
    <t>Ilhabela I - Fórum Principal</t>
  </si>
  <si>
    <t>Sertãozinho I - Fórum Principal</t>
  </si>
  <si>
    <t>Sertãozinho II - CEJUSC + Execuções fiscais - Ofício (Imóvel comercial)</t>
  </si>
  <si>
    <t>Avaré II - CEJUSC (EDUVALE)</t>
  </si>
  <si>
    <t>Regente Feijó I - Fórum Principal</t>
  </si>
  <si>
    <t>Sumaré II - Execuções fiscais - Ofício</t>
  </si>
  <si>
    <t>Adamantina II - Arquivo / Acervo</t>
  </si>
  <si>
    <t>São José do Rio Preto VI - CEJUSC (Polícia)</t>
  </si>
  <si>
    <t>Rosana I - Fórum Principal</t>
  </si>
  <si>
    <t>Marília I - Fórum Principal</t>
  </si>
  <si>
    <t>Marília II - Execuções criminais - Vara + Execuções fiscais - Ofício</t>
  </si>
  <si>
    <t>Execuções criminais - Vara</t>
  </si>
  <si>
    <t>Marília III - Psicossocial (Imóvel comercial)</t>
  </si>
  <si>
    <t>São José do Rio Preto V - CEJUSC (UNIRP)</t>
  </si>
  <si>
    <t>Marília IV - CEJUSC (UNIMAR)</t>
  </si>
  <si>
    <t>Macaubal II - JEC / JECRIM + Psicossocial</t>
  </si>
  <si>
    <t>Caçapava IV - CEJUSC (Polícia)</t>
  </si>
  <si>
    <t>Penápolis VI - UAAJ Braúna (Prefeitura e órgãos da prefeitura)</t>
  </si>
  <si>
    <t>Lorena II - CEJUSC  (Prefeitura e órgãos da prefeitura)</t>
  </si>
  <si>
    <t>Ouroeste III - UAAJ Indiaporã (Prefeitura e órgãos da prefeitura)</t>
  </si>
  <si>
    <t>Campos do Jordão II - CEJUSC (Imóvel destinado para serviços públicos)</t>
  </si>
  <si>
    <t>Lençóis Paulista I - Fórum Principal</t>
  </si>
  <si>
    <t>São Vicente IV - Central de mandados + Psicossocial</t>
  </si>
  <si>
    <t>Central de mandados</t>
  </si>
  <si>
    <t>São Carlos III - CEJUSC</t>
  </si>
  <si>
    <t>Cândido Mota II - CEJUSC (Polícia)</t>
  </si>
  <si>
    <t>Ribeirão Preto VI - CEJUSC  (Polícia)</t>
  </si>
  <si>
    <t>Pacaembu I - Fórum Principal</t>
  </si>
  <si>
    <t>Duartina I - Fórum Principal</t>
  </si>
  <si>
    <t>Santo Anastácio I - Fórum Principal</t>
  </si>
  <si>
    <t>Paulínia II - CEJUSC (Imóvel destinado para serviços públicos)</t>
  </si>
  <si>
    <t>Limeira IV - CEJUSC Iracemápolis</t>
  </si>
  <si>
    <t>Artur Nogueira III - CEJUSC (Imóvel destinado para serviços públicos)</t>
  </si>
  <si>
    <t>Cândido Mota I - Fórum Principal</t>
  </si>
  <si>
    <t>Itapetininga I - Fórum Principal</t>
  </si>
  <si>
    <t>Patrocínio Paulista I - Fórum Principal</t>
  </si>
  <si>
    <t>Capão Bonito I - Fórum Principal</t>
  </si>
  <si>
    <t>Jarinu I - Fórum Principal</t>
  </si>
  <si>
    <t>Tatuí I - Fórum Principal</t>
  </si>
  <si>
    <t>Nova Granada III - Sem uso / Vazio</t>
  </si>
  <si>
    <t>Santa Cruz das Palmeiras I - Fórum Principal</t>
  </si>
  <si>
    <t>Roseira I - Fórum Principal</t>
  </si>
  <si>
    <t>Taubaté VII - JEC / JECRIM (UNITAU)</t>
  </si>
  <si>
    <t>Caçapava I - JEC / JECRIM + Psicossocial</t>
  </si>
  <si>
    <t>Caçapava II - Criminal - Vara + Execuções fiscais - Ofício + Execuções criminais - Vara + Execuções criminais - Ofício</t>
  </si>
  <si>
    <t>Criminal - Vara</t>
  </si>
  <si>
    <t>Cravinhos II - Em reforma / Projeto</t>
  </si>
  <si>
    <t>Itaí I - Fórum Principal</t>
  </si>
  <si>
    <t>São Paulo  - Fórum Regional VII - Itaquera</t>
  </si>
  <si>
    <t>São Paulo - JEC / JECRIM II - Central Vergueiro</t>
  </si>
  <si>
    <t>São Paulo - Fórum Regional VI - Penha de França</t>
  </si>
  <si>
    <t>São Paulo - Grupos e Câmaras III - Rua da Glória</t>
  </si>
  <si>
    <t>São Paulo - JEC / JECRIM I - Central</t>
  </si>
  <si>
    <t>São Paulo - Tabatinguera - Em reforma / Projeto (Futuras Instalações Seção de Direito Publico)</t>
  </si>
  <si>
    <t>São Paulo - CEJUSC IX - Central (CDHU)</t>
  </si>
  <si>
    <t>CDHU</t>
  </si>
  <si>
    <t>São Paulo - JEC / JECRIM IV - Lapa (UNIP)</t>
  </si>
  <si>
    <t>São Paulo - JEC / JECRIM V - Santo Amaro (UNISA)</t>
  </si>
  <si>
    <t>São Paulo - JEC / JECRIM VI - Santo Amaro (UNIP)</t>
  </si>
  <si>
    <t>São Paulo - UAAJ (Mackenzie)</t>
  </si>
  <si>
    <t>São Paulo - Violência doméstica / Familiar / Mulher - Ofício (Casa da Mulher Brasileira)</t>
  </si>
  <si>
    <t>Casa da mulher brasileira</t>
  </si>
  <si>
    <t>Santa Isabel I - Fórum Principal</t>
  </si>
  <si>
    <t>Boituva III - Execuções fiscais - Ofício + Psicossocial</t>
  </si>
  <si>
    <t>Itu II - JEC / JECRIM - Vara</t>
  </si>
  <si>
    <t>Itu IV - CEJUSC (FADITU)</t>
  </si>
  <si>
    <t>Barueri II - CEJUSC + Justiça Restaurativa</t>
  </si>
  <si>
    <t>Arujá VII - Arquivo / Acervo (Prefeitura e órgãos da prefeitura)</t>
  </si>
  <si>
    <t>Guarulhos III - CEJUSC (FIG/UNIMESP)</t>
  </si>
  <si>
    <t>São Caetano do Sul II - CEJUSC (USCS)</t>
  </si>
  <si>
    <t>Boituva IV - UAAJ Iperó (Imóvel destinado para serviços públicos)</t>
  </si>
  <si>
    <t>Itapeva II - UAAJ (FAIT)</t>
  </si>
  <si>
    <t>Porangaba II - UAAJ Bofete (Prefeitura e órgãos da prefeitura)</t>
  </si>
  <si>
    <t>Porangaba III - UAAJ Guareí</t>
  </si>
  <si>
    <t>Boituva V - Justiça restaurativa + Arquivo / Acervo</t>
  </si>
  <si>
    <t>Pedreira I - Fórum Principal</t>
  </si>
  <si>
    <t>Caraguatatuba I - Fórum Principal</t>
  </si>
  <si>
    <t>Caraguatatuba II - Fazenda pública - Vara</t>
  </si>
  <si>
    <t>Caraguatatuba III - CEJUSC</t>
  </si>
  <si>
    <t>Guaíra II - Cível - Ofício + JEC / JECRIM + Psicossocial + CEJUSC</t>
  </si>
  <si>
    <t>Cível - Ofício</t>
  </si>
  <si>
    <t>Votuporanga III - CEJUSC (UNIFEV)</t>
  </si>
  <si>
    <t>Itajobi II - Justiça restaurativa (Imóvel destinado para serviços públicos)</t>
  </si>
  <si>
    <t>Miguelópolis I - Fórum Principal</t>
  </si>
  <si>
    <t>Paraguaçu Paulista I - Fórum Principal</t>
  </si>
  <si>
    <t>Panorama II - CEJUSC</t>
  </si>
  <si>
    <t>Patrocínio Paulista II -  Outros (Prefeitura)</t>
  </si>
  <si>
    <t>Pedregulho II - CEJUSC</t>
  </si>
  <si>
    <t>Ribeirão Preto IV - CEJUSC (Imóvel comercial)</t>
  </si>
  <si>
    <t>Ribeirão Preto V - JEC / JECRIM (UNIMOURALACERDA)</t>
  </si>
  <si>
    <t>Ribeirão Preto VII - JEC / JECRIM (UNIP)</t>
  </si>
  <si>
    <t>Ribeirão Preto VIII - CEJUSC (UNAERP)</t>
  </si>
  <si>
    <t>Cravinhos I - Fórum Principal</t>
  </si>
  <si>
    <t>Piracicaba II - Execuções fiscais - Ofício</t>
  </si>
  <si>
    <t>Espírito Santo do Pinhal II - Arquivo / Acervo + Psicossocial (Imóvel destinado para serviços públicos)</t>
  </si>
  <si>
    <t>Cajamar II - CEJUSC (Imóvel destinado para serviços públicos)</t>
  </si>
  <si>
    <t>Jaguariúna III - CEJUSC (UNIFAJ)</t>
  </si>
  <si>
    <t>Araras IV - CEJUSC (Prefeitura e órgãos da prefeitura)</t>
  </si>
  <si>
    <t>Jundiaí III - JEC / JECRIM (UNIANCHIETA)</t>
  </si>
  <si>
    <t>Campinas VII - JEC / JECRIM (METROCAMP)</t>
  </si>
  <si>
    <t>55ª CJ -Jales</t>
  </si>
  <si>
    <t>Auriflama I - Fórum Principal</t>
  </si>
  <si>
    <t>Bertioga I - Fórum Principal</t>
  </si>
  <si>
    <t>Itanhaém I - Fórum Principal</t>
  </si>
  <si>
    <t>Palmeira d'Oeste</t>
  </si>
  <si>
    <t>Palmeira d'Oeste I - Fórum Principal</t>
  </si>
  <si>
    <t>Pereira Barreto I - Fórum Principal</t>
  </si>
  <si>
    <t>São Vicente II - Execuções fiscais - Ofício  (Imóvel destinado para serviços públicos)</t>
  </si>
  <si>
    <t>São Vicente VI - Família / Sucessões - Vara + CEJUSC</t>
  </si>
  <si>
    <t>Ipaussu III - Terreno</t>
  </si>
  <si>
    <t>Itanhaém III - Sem uso / Vazio</t>
  </si>
  <si>
    <t>Araçatuba VII - CEJUSC (UNITOLEDO)</t>
  </si>
  <si>
    <t>Araçatuba VIII - CEJUSC (Polícia)</t>
  </si>
  <si>
    <t>Praia Grande I - Fórum Principal</t>
  </si>
  <si>
    <t>Promissão I - Fórum Principal</t>
  </si>
  <si>
    <t>Getulina II - CEJUSC + Psicossocial</t>
  </si>
  <si>
    <t>Promissão II -JEC / JECRIM + Central de mandados + Psicossocial</t>
  </si>
  <si>
    <t>Registro II - Execuções fiscais - Ofício + Psicossocial</t>
  </si>
  <si>
    <t>Promissão III -  Outros (TRE)</t>
  </si>
  <si>
    <t>Filtros aplicados:
Ativo/Baixado é Ativo</t>
  </si>
  <si>
    <t>Valor de desconto por falta sem reposição (integral)</t>
  </si>
  <si>
    <t xml:space="preserve">Ferraz de Vasconcelos II - Execuções Fiscais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</si>
</sst>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0\-0000"/>
    <numFmt numFmtId="167" formatCode="_-* #,##0_-;\-* #,##0_-;_-* &quot;-&quot;??_-;_-@_-"/>
    <numFmt numFmtId="168" formatCode="0_ ;\-0\ "/>
    <numFmt numFmtId="169" formatCode="_-* #,##0.0000_-;\-* #,##0.0000_-;_-* &quot;-&quot;??_-;_-@_-"/>
    <numFmt numFmtId="170" formatCode="0.0000%"/>
    <numFmt numFmtId="171" formatCode="_-* #,##0.0000_-;\-* #,##0.0000_-;_-* &quot;-&quot;????_-;_-@_-"/>
    <numFmt numFmtId="172" formatCode="#,##0_ ;\-#,##0\ "/>
    <numFmt numFmtId="173" formatCode="_-* #,##0.00000_-;\-* #,##0.00000_-;_-* &quot;-&quot;??_-;_-@_-"/>
    <numFmt numFmtId="174" formatCode="0.0%"/>
    <numFmt numFmtId="175" formatCode="_-* #,##0.000_-;\-* #,##0.000_-;_-* &quot;-&quot;??_-;_-@_-"/>
    <numFmt numFmtId="176" formatCode="0.000000"/>
    <numFmt numFmtId="177" formatCode="0.0000"/>
    <numFmt numFmtId="178" formatCode="0.00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9"/>
      <color theme="4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4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theme="4"/>
      </patternFill>
    </fill>
    <fill>
      <patternFill patternType="solid">
        <fgColor theme="0" tint="-0.249977111117893"/>
        <bgColor theme="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/>
      </patternFill>
    </fill>
  </fills>
  <borders count="6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0"/>
      </left>
      <right/>
      <top style="thin">
        <color theme="3" tint="0.59996337778862885"/>
      </top>
      <bottom style="thin">
        <color theme="0"/>
      </bottom>
      <diagonal/>
    </border>
    <border>
      <left/>
      <right/>
      <top style="thin">
        <color theme="3" tint="0.59996337778862885"/>
      </top>
      <bottom style="thin">
        <color theme="0"/>
      </bottom>
      <diagonal/>
    </border>
    <border>
      <left/>
      <right style="thin">
        <color theme="0"/>
      </right>
      <top style="thin">
        <color theme="3" tint="0.59996337778862885"/>
      </top>
      <bottom style="thin">
        <color theme="0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/>
      <right style="thin">
        <color theme="0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 style="thin">
        <color theme="3" tint="0.59996337778862885"/>
      </right>
      <top/>
      <bottom/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3" tint="0.59996337778862885"/>
      </left>
      <right/>
      <top/>
      <bottom/>
      <diagonal/>
    </border>
    <border>
      <left/>
      <right style="thin">
        <color theme="3" tint="0.59996337778862885"/>
      </right>
      <top/>
      <bottom/>
      <diagonal/>
    </border>
    <border>
      <left/>
      <right style="thin">
        <color theme="3" tint="0.59996337778862885"/>
      </right>
      <top/>
      <bottom style="thin">
        <color theme="3" tint="0.59996337778862885"/>
      </bottom>
      <diagonal/>
    </border>
    <border>
      <left style="thin">
        <color theme="0" tint="-0.499984740745262"/>
      </left>
      <right/>
      <top style="thin">
        <color theme="0"/>
      </top>
      <bottom style="thin">
        <color theme="0" tint="-0.499984740745262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38" fillId="0" borderId="0"/>
  </cellStyleXfs>
  <cellXfs count="604">
    <xf numFmtId="0" fontId="0" fillId="0" borderId="0" xfId="0"/>
    <xf numFmtId="0" fontId="0" fillId="0" borderId="1" xfId="0" applyBorder="1"/>
    <xf numFmtId="10" fontId="5" fillId="0" borderId="4" xfId="2" applyNumberFormat="1" applyFont="1" applyBorder="1" applyAlignment="1" applyProtection="1">
      <alignment vertical="center"/>
    </xf>
    <xf numFmtId="166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66" fontId="6" fillId="9" borderId="4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4" xfId="0" applyFont="1" applyBorder="1" applyAlignment="1">
      <alignment horizontal="left" vertical="center" wrapText="1"/>
    </xf>
    <xf numFmtId="0" fontId="5" fillId="0" borderId="3" xfId="0" applyFont="1" applyBorder="1"/>
    <xf numFmtId="0" fontId="5" fillId="0" borderId="1" xfId="0" applyFont="1" applyBorder="1"/>
    <xf numFmtId="0" fontId="9" fillId="0" borderId="7" xfId="0" applyFont="1" applyBorder="1" applyAlignment="1">
      <alignment horizontal="left" vertical="center" wrapText="1"/>
    </xf>
    <xf numFmtId="0" fontId="7" fillId="0" borderId="1" xfId="0" applyFont="1" applyBorder="1"/>
    <xf numFmtId="0" fontId="9" fillId="2" borderId="4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 applyProtection="1">
      <alignment horizontal="left" vertical="center" wrapText="1"/>
      <protection locked="0"/>
    </xf>
    <xf numFmtId="0" fontId="9" fillId="8" borderId="4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 applyProtection="1">
      <alignment horizontal="center" vertical="center" wrapText="1"/>
      <protection locked="0"/>
    </xf>
    <xf numFmtId="14" fontId="10" fillId="8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Border="1"/>
    <xf numFmtId="0" fontId="5" fillId="0" borderId="3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43" fontId="8" fillId="0" borderId="4" xfId="1" applyFont="1" applyFill="1" applyBorder="1" applyAlignment="1" applyProtection="1">
      <alignment vertical="center"/>
    </xf>
    <xf numFmtId="43" fontId="6" fillId="0" borderId="4" xfId="1" applyFont="1" applyFill="1" applyBorder="1" applyAlignment="1" applyProtection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1" xfId="1" applyNumberFormat="1" applyFont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5" fillId="0" borderId="0" xfId="1" applyNumberFormat="1" applyFont="1" applyAlignment="1" applyProtection="1">
      <alignment vertical="center"/>
    </xf>
    <xf numFmtId="43" fontId="5" fillId="0" borderId="0" xfId="1" applyFont="1" applyAlignment="1" applyProtection="1">
      <alignment vertical="center"/>
    </xf>
    <xf numFmtId="43" fontId="5" fillId="0" borderId="1" xfId="0" applyNumberFormat="1" applyFont="1" applyBorder="1" applyAlignment="1">
      <alignment vertical="center" wrapText="1"/>
    </xf>
    <xf numFmtId="43" fontId="6" fillId="4" borderId="4" xfId="1" applyFont="1" applyFill="1" applyBorder="1" applyAlignment="1" applyProtection="1">
      <alignment vertical="center"/>
    </xf>
    <xf numFmtId="43" fontId="5" fillId="0" borderId="2" xfId="0" applyNumberFormat="1" applyFont="1" applyBorder="1" applyAlignment="1">
      <alignment vertical="center" wrapText="1"/>
    </xf>
    <xf numFmtId="0" fontId="5" fillId="4" borderId="4" xfId="0" applyFont="1" applyFill="1" applyBorder="1" applyAlignment="1">
      <alignment vertical="center"/>
    </xf>
    <xf numFmtId="168" fontId="5" fillId="4" borderId="4" xfId="1" applyNumberFormat="1" applyFont="1" applyFill="1" applyBorder="1" applyAlignment="1" applyProtection="1">
      <alignment horizontal="center" vertical="center"/>
    </xf>
    <xf numFmtId="0" fontId="5" fillId="0" borderId="13" xfId="0" applyFont="1" applyBorder="1" applyAlignment="1">
      <alignment vertical="center" wrapText="1"/>
    </xf>
    <xf numFmtId="0" fontId="7" fillId="2" borderId="13" xfId="0" applyFont="1" applyFill="1" applyBorder="1"/>
    <xf numFmtId="43" fontId="5" fillId="0" borderId="3" xfId="0" applyNumberFormat="1" applyFont="1" applyBorder="1"/>
    <xf numFmtId="0" fontId="8" fillId="0" borderId="1" xfId="0" applyFont="1" applyBorder="1"/>
    <xf numFmtId="0" fontId="5" fillId="0" borderId="8" xfId="0" applyFont="1" applyBorder="1" applyAlignment="1">
      <alignment vertical="center"/>
    </xf>
    <xf numFmtId="0" fontId="4" fillId="4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0" fontId="4" fillId="4" borderId="4" xfId="0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10" fontId="8" fillId="0" borderId="1" xfId="2" applyNumberFormat="1" applyFont="1" applyBorder="1" applyProtection="1"/>
    <xf numFmtId="10" fontId="8" fillId="0" borderId="1" xfId="0" applyNumberFormat="1" applyFont="1" applyBorder="1"/>
    <xf numFmtId="10" fontId="5" fillId="0" borderId="3" xfId="0" applyNumberFormat="1" applyFont="1" applyBorder="1"/>
    <xf numFmtId="9" fontId="8" fillId="0" borderId="1" xfId="0" applyNumberFormat="1" applyFont="1" applyBorder="1"/>
    <xf numFmtId="10" fontId="4" fillId="3" borderId="4" xfId="0" applyNumberFormat="1" applyFont="1" applyFill="1" applyBorder="1" applyAlignment="1">
      <alignment vertical="center"/>
    </xf>
    <xf numFmtId="0" fontId="8" fillId="0" borderId="3" xfId="0" applyFont="1" applyBorder="1"/>
    <xf numFmtId="10" fontId="5" fillId="0" borderId="4" xfId="2" applyNumberFormat="1" applyFont="1" applyBorder="1" applyAlignment="1" applyProtection="1">
      <alignment horizontal="center" vertical="center"/>
    </xf>
    <xf numFmtId="43" fontId="5" fillId="0" borderId="4" xfId="1" applyFont="1" applyBorder="1" applyAlignment="1" applyProtection="1">
      <alignment vertical="center"/>
    </xf>
    <xf numFmtId="2" fontId="8" fillId="0" borderId="3" xfId="0" applyNumberFormat="1" applyFont="1" applyBorder="1"/>
    <xf numFmtId="170" fontId="5" fillId="0" borderId="4" xfId="2" applyNumberFormat="1" applyFont="1" applyBorder="1" applyAlignment="1" applyProtection="1">
      <alignment vertical="center"/>
    </xf>
    <xf numFmtId="0" fontId="5" fillId="0" borderId="1" xfId="0" applyFont="1" applyBorder="1" applyProtection="1">
      <protection locked="0"/>
    </xf>
    <xf numFmtId="0" fontId="5" fillId="0" borderId="0" xfId="0" applyFont="1"/>
    <xf numFmtId="0" fontId="5" fillId="0" borderId="4" xfId="0" applyFont="1" applyBorder="1" applyAlignment="1">
      <alignment vertical="center"/>
    </xf>
    <xf numFmtId="43" fontId="5" fillId="0" borderId="1" xfId="1" applyFont="1" applyBorder="1" applyAlignment="1" applyProtection="1">
      <alignment vertical="center" wrapText="1"/>
    </xf>
    <xf numFmtId="0" fontId="5" fillId="0" borderId="15" xfId="0" applyFont="1" applyBorder="1"/>
    <xf numFmtId="0" fontId="5" fillId="0" borderId="15" xfId="0" applyFont="1" applyBorder="1" applyProtection="1">
      <protection locked="0"/>
    </xf>
    <xf numFmtId="0" fontId="11" fillId="0" borderId="1" xfId="0" applyFont="1" applyBorder="1"/>
    <xf numFmtId="43" fontId="11" fillId="0" borderId="1" xfId="0" applyNumberFormat="1" applyFont="1" applyBorder="1"/>
    <xf numFmtId="43" fontId="5" fillId="0" borderId="1" xfId="0" applyNumberFormat="1" applyFont="1" applyBorder="1"/>
    <xf numFmtId="43" fontId="4" fillId="0" borderId="4" xfId="1" applyFont="1" applyBorder="1" applyAlignment="1" applyProtection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21" xfId="0" applyFont="1" applyBorder="1" applyAlignment="1">
      <alignment vertical="center"/>
    </xf>
    <xf numFmtId="0" fontId="4" fillId="4" borderId="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1" xfId="0" applyFont="1" applyBorder="1" applyAlignment="1">
      <alignment wrapText="1"/>
    </xf>
    <xf numFmtId="43" fontId="5" fillId="11" borderId="4" xfId="1" applyFont="1" applyFill="1" applyBorder="1" applyAlignment="1" applyProtection="1">
      <alignment vertical="center"/>
      <protection locked="0"/>
    </xf>
    <xf numFmtId="0" fontId="5" fillId="11" borderId="4" xfId="1" applyNumberFormat="1" applyFont="1" applyFill="1" applyBorder="1" applyAlignment="1" applyProtection="1">
      <alignment horizontal="left" vertical="center"/>
      <protection locked="0"/>
    </xf>
    <xf numFmtId="10" fontId="5" fillId="11" borderId="4" xfId="1" applyNumberFormat="1" applyFont="1" applyFill="1" applyBorder="1" applyAlignment="1" applyProtection="1">
      <alignment vertical="center"/>
      <protection locked="0"/>
    </xf>
    <xf numFmtId="166" fontId="5" fillId="0" borderId="8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166" fontId="17" fillId="0" borderId="26" xfId="0" applyNumberFormat="1" applyFont="1" applyBorder="1" applyAlignment="1">
      <alignment horizontal="center" vertical="center" wrapText="1"/>
    </xf>
    <xf numFmtId="43" fontId="16" fillId="0" borderId="26" xfId="1" applyFont="1" applyBorder="1" applyAlignment="1" applyProtection="1">
      <alignment vertical="center"/>
    </xf>
    <xf numFmtId="43" fontId="16" fillId="0" borderId="1" xfId="0" applyNumberFormat="1" applyFont="1" applyBorder="1" applyAlignment="1">
      <alignment vertical="center" wrapText="1"/>
    </xf>
    <xf numFmtId="43" fontId="16" fillId="0" borderId="1" xfId="1" applyFont="1" applyBorder="1" applyAlignment="1" applyProtection="1">
      <alignment vertical="center" wrapText="1"/>
    </xf>
    <xf numFmtId="43" fontId="18" fillId="0" borderId="1" xfId="0" applyNumberFormat="1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2" fillId="0" borderId="0" xfId="0" applyFont="1"/>
    <xf numFmtId="43" fontId="17" fillId="0" borderId="1" xfId="0" applyNumberFormat="1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9" fillId="0" borderId="0" xfId="0" applyFont="1"/>
    <xf numFmtId="43" fontId="15" fillId="4" borderId="26" xfId="0" applyNumberFormat="1" applyFont="1" applyFill="1" applyBorder="1" applyAlignment="1">
      <alignment vertical="center"/>
    </xf>
    <xf numFmtId="43" fontId="15" fillId="0" borderId="1" xfId="0" applyNumberFormat="1" applyFont="1" applyBorder="1" applyAlignment="1">
      <alignment vertical="center" wrapText="1"/>
    </xf>
    <xf numFmtId="0" fontId="16" fillId="0" borderId="27" xfId="0" applyFont="1" applyBorder="1" applyAlignment="1">
      <alignment vertical="center"/>
    </xf>
    <xf numFmtId="0" fontId="16" fillId="0" borderId="28" xfId="0" applyFont="1" applyBorder="1" applyAlignment="1">
      <alignment vertical="center"/>
    </xf>
    <xf numFmtId="43" fontId="15" fillId="0" borderId="26" xfId="1" applyFont="1" applyBorder="1" applyAlignment="1" applyProtection="1">
      <alignment horizontal="left" vertical="center"/>
    </xf>
    <xf numFmtId="10" fontId="16" fillId="0" borderId="26" xfId="2" applyNumberFormat="1" applyFont="1" applyBorder="1" applyAlignment="1" applyProtection="1">
      <alignment horizontal="right" vertical="center"/>
    </xf>
    <xf numFmtId="0" fontId="16" fillId="0" borderId="17" xfId="0" applyFont="1" applyBorder="1" applyAlignment="1">
      <alignment vertical="center"/>
    </xf>
    <xf numFmtId="0" fontId="15" fillId="0" borderId="26" xfId="0" applyFont="1" applyBorder="1" applyAlignment="1">
      <alignment horizontal="right" vertical="center"/>
    </xf>
    <xf numFmtId="10" fontId="16" fillId="0" borderId="17" xfId="2" applyNumberFormat="1" applyFont="1" applyBorder="1" applyAlignment="1" applyProtection="1">
      <alignment vertical="center"/>
    </xf>
    <xf numFmtId="10" fontId="15" fillId="12" borderId="31" xfId="2" applyNumberFormat="1" applyFont="1" applyFill="1" applyBorder="1" applyAlignment="1" applyProtection="1">
      <alignment horizontal="right" vertical="center"/>
    </xf>
    <xf numFmtId="43" fontId="15" fillId="12" borderId="26" xfId="1" applyFont="1" applyFill="1" applyBorder="1" applyAlignment="1" applyProtection="1">
      <alignment horizontal="left" vertical="center"/>
    </xf>
    <xf numFmtId="0" fontId="16" fillId="0" borderId="3" xfId="0" applyFont="1" applyBorder="1" applyAlignment="1">
      <alignment vertical="center" wrapText="1"/>
    </xf>
    <xf numFmtId="0" fontId="16" fillId="0" borderId="2" xfId="0" applyFont="1" applyBorder="1" applyAlignment="1">
      <alignment vertical="center" wrapText="1"/>
    </xf>
    <xf numFmtId="0" fontId="13" fillId="0" borderId="1" xfId="0" applyFont="1" applyBorder="1"/>
    <xf numFmtId="0" fontId="0" fillId="0" borderId="3" xfId="0" applyBorder="1"/>
    <xf numFmtId="2" fontId="12" fillId="0" borderId="1" xfId="0" applyNumberFormat="1" applyFont="1" applyBorder="1"/>
    <xf numFmtId="10" fontId="0" fillId="0" borderId="1" xfId="0" applyNumberFormat="1" applyBorder="1"/>
    <xf numFmtId="43" fontId="0" fillId="0" borderId="1" xfId="0" applyNumberFormat="1" applyBorder="1"/>
    <xf numFmtId="0" fontId="15" fillId="3" borderId="26" xfId="0" applyFont="1" applyFill="1" applyBorder="1" applyAlignment="1">
      <alignment horizontal="center" vertical="center"/>
    </xf>
    <xf numFmtId="166" fontId="20" fillId="0" borderId="26" xfId="1" applyNumberFormat="1" applyFont="1" applyFill="1" applyBorder="1" applyAlignment="1" applyProtection="1">
      <alignment horizontal="center" vertical="center"/>
      <protection locked="0"/>
    </xf>
    <xf numFmtId="43" fontId="16" fillId="0" borderId="26" xfId="1" applyFont="1" applyFill="1" applyBorder="1" applyAlignment="1" applyProtection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5" fillId="4" borderId="26" xfId="1" applyNumberFormat="1" applyFont="1" applyFill="1" applyBorder="1" applyAlignment="1" applyProtection="1">
      <alignment horizontal="center" vertical="center"/>
    </xf>
    <xf numFmtId="43" fontId="16" fillId="0" borderId="26" xfId="1" applyFont="1" applyFill="1" applyBorder="1" applyAlignment="1" applyProtection="1">
      <alignment vertical="center"/>
    </xf>
    <xf numFmtId="43" fontId="15" fillId="4" borderId="26" xfId="1" applyFont="1" applyFill="1" applyBorder="1" applyAlignment="1" applyProtection="1">
      <alignment vertical="center"/>
    </xf>
    <xf numFmtId="0" fontId="16" fillId="0" borderId="36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169" fontId="16" fillId="0" borderId="1" xfId="1" applyNumberFormat="1" applyFont="1" applyBorder="1" applyAlignment="1">
      <alignment vertical="center"/>
    </xf>
    <xf numFmtId="43" fontId="16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43" fontId="15" fillId="3" borderId="26" xfId="1" applyFont="1" applyFill="1" applyBorder="1" applyAlignment="1" applyProtection="1">
      <alignment vertical="center"/>
    </xf>
    <xf numFmtId="0" fontId="16" fillId="0" borderId="16" xfId="0" applyFont="1" applyBorder="1" applyAlignment="1">
      <alignment vertical="center"/>
    </xf>
    <xf numFmtId="170" fontId="0" fillId="0" borderId="1" xfId="2" applyNumberFormat="1" applyFont="1" applyBorder="1" applyProtection="1"/>
    <xf numFmtId="43" fontId="0" fillId="0" borderId="1" xfId="1" applyFont="1" applyBorder="1" applyProtection="1"/>
    <xf numFmtId="9" fontId="0" fillId="0" borderId="1" xfId="0" applyNumberFormat="1" applyBorder="1"/>
    <xf numFmtId="43" fontId="0" fillId="0" borderId="1" xfId="1" applyFont="1" applyBorder="1"/>
    <xf numFmtId="43" fontId="0" fillId="0" borderId="3" xfId="0" applyNumberFormat="1" applyBorder="1"/>
    <xf numFmtId="171" fontId="0" fillId="0" borderId="1" xfId="0" applyNumberFormat="1" applyBorder="1"/>
    <xf numFmtId="0" fontId="14" fillId="3" borderId="26" xfId="0" applyFont="1" applyFill="1" applyBorder="1" applyAlignment="1">
      <alignment horizontal="center" vertical="center"/>
    </xf>
    <xf numFmtId="10" fontId="16" fillId="0" borderId="26" xfId="2" applyNumberFormat="1" applyFont="1" applyFill="1" applyBorder="1" applyAlignment="1" applyProtection="1">
      <alignment vertical="center"/>
    </xf>
    <xf numFmtId="0" fontId="0" fillId="0" borderId="34" xfId="0" applyBorder="1"/>
    <xf numFmtId="43" fontId="0" fillId="0" borderId="15" xfId="0" applyNumberFormat="1" applyBorder="1"/>
    <xf numFmtId="0" fontId="0" fillId="0" borderId="15" xfId="0" applyBorder="1"/>
    <xf numFmtId="10" fontId="16" fillId="0" borderId="26" xfId="2" applyNumberFormat="1" applyFont="1" applyBorder="1" applyAlignment="1" applyProtection="1">
      <alignment vertical="center"/>
    </xf>
    <xf numFmtId="10" fontId="15" fillId="4" borderId="18" xfId="2" applyNumberFormat="1" applyFont="1" applyFill="1" applyBorder="1" applyAlignment="1" applyProtection="1">
      <alignment vertical="center"/>
    </xf>
    <xf numFmtId="43" fontId="18" fillId="0" borderId="1" xfId="0" applyNumberFormat="1" applyFont="1" applyBorder="1" applyAlignment="1">
      <alignment vertical="center"/>
    </xf>
    <xf numFmtId="0" fontId="14" fillId="3" borderId="26" xfId="0" applyFont="1" applyFill="1" applyBorder="1" applyAlignment="1">
      <alignment vertical="center"/>
    </xf>
    <xf numFmtId="10" fontId="16" fillId="0" borderId="26" xfId="0" applyNumberFormat="1" applyFont="1" applyBorder="1" applyAlignment="1">
      <alignment vertical="center"/>
    </xf>
    <xf numFmtId="0" fontId="0" fillId="0" borderId="2" xfId="0" applyBorder="1"/>
    <xf numFmtId="0" fontId="0" fillId="0" borderId="1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43" fontId="5" fillId="0" borderId="0" xfId="1" applyFont="1" applyAlignment="1" applyProtection="1">
      <alignment vertical="center" wrapText="1"/>
    </xf>
    <xf numFmtId="0" fontId="16" fillId="0" borderId="32" xfId="0" applyFont="1" applyBorder="1" applyAlignment="1">
      <alignment horizontal="center" vertical="center"/>
    </xf>
    <xf numFmtId="170" fontId="5" fillId="0" borderId="4" xfId="2" applyNumberFormat="1" applyFont="1" applyFill="1" applyBorder="1" applyAlignment="1" applyProtection="1">
      <alignment vertical="center"/>
    </xf>
    <xf numFmtId="43" fontId="16" fillId="0" borderId="2" xfId="0" applyNumberFormat="1" applyFont="1" applyBorder="1" applyAlignment="1">
      <alignment vertical="center" wrapText="1"/>
    </xf>
    <xf numFmtId="43" fontId="16" fillId="0" borderId="29" xfId="0" applyNumberFormat="1" applyFont="1" applyBorder="1" applyAlignment="1">
      <alignment vertical="center"/>
    </xf>
    <xf numFmtId="43" fontId="15" fillId="12" borderId="26" xfId="0" applyNumberFormat="1" applyFont="1" applyFill="1" applyBorder="1" applyAlignment="1">
      <alignment vertical="center"/>
    </xf>
    <xf numFmtId="43" fontId="16" fillId="0" borderId="3" xfId="0" applyNumberFormat="1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43" fontId="5" fillId="0" borderId="15" xfId="1" applyFont="1" applyBorder="1" applyAlignment="1" applyProtection="1">
      <alignment vertical="center" wrapText="1"/>
    </xf>
    <xf numFmtId="43" fontId="5" fillId="0" borderId="15" xfId="0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43" fontId="5" fillId="0" borderId="2" xfId="1" applyFont="1" applyBorder="1" applyAlignment="1" applyProtection="1">
      <alignment vertical="center" wrapText="1"/>
    </xf>
    <xf numFmtId="0" fontId="4" fillId="0" borderId="0" xfId="0" applyFont="1" applyAlignment="1">
      <alignment vertical="center"/>
    </xf>
    <xf numFmtId="0" fontId="5" fillId="0" borderId="25" xfId="0" applyFont="1" applyBorder="1" applyAlignment="1">
      <alignment vertical="center" wrapText="1"/>
    </xf>
    <xf numFmtId="0" fontId="12" fillId="0" borderId="1" xfId="0" applyFont="1" applyBorder="1"/>
    <xf numFmtId="0" fontId="18" fillId="0" borderId="1" xfId="0" applyFont="1" applyBorder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0" fillId="8" borderId="7" xfId="0" applyFont="1" applyFill="1" applyBorder="1" applyAlignment="1" applyProtection="1">
      <alignment horizontal="left" vertical="center" wrapText="1"/>
      <protection locked="0"/>
    </xf>
    <xf numFmtId="0" fontId="9" fillId="7" borderId="4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 applyProtection="1">
      <alignment horizontal="justify" vertical="center" wrapText="1"/>
      <protection locked="0"/>
    </xf>
    <xf numFmtId="0" fontId="9" fillId="7" borderId="6" xfId="0" applyFont="1" applyFill="1" applyBorder="1" applyAlignment="1">
      <alignment horizontal="center" vertical="center" wrapText="1"/>
    </xf>
    <xf numFmtId="43" fontId="5" fillId="0" borderId="14" xfId="0" applyNumberFormat="1" applyFont="1" applyBorder="1" applyAlignment="1">
      <alignment horizontal="center" vertical="center" wrapText="1"/>
    </xf>
    <xf numFmtId="43" fontId="5" fillId="0" borderId="3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6" fillId="0" borderId="17" xfId="0" applyFont="1" applyBorder="1" applyAlignment="1">
      <alignment horizontal="center" vertical="center"/>
    </xf>
    <xf numFmtId="43" fontId="15" fillId="4" borderId="18" xfId="1" applyFont="1" applyFill="1" applyBorder="1" applyAlignment="1" applyProtection="1">
      <alignment horizontal="right" vertical="center"/>
    </xf>
    <xf numFmtId="0" fontId="15" fillId="0" borderId="16" xfId="0" applyFont="1" applyBorder="1" applyAlignment="1">
      <alignment horizontal="center" vertical="center"/>
    </xf>
    <xf numFmtId="0" fontId="16" fillId="0" borderId="26" xfId="0" applyFont="1" applyBorder="1" applyAlignment="1">
      <alignment horizontal="left" vertical="center"/>
    </xf>
    <xf numFmtId="43" fontId="15" fillId="12" borderId="26" xfId="0" applyNumberFormat="1" applyFont="1" applyFill="1" applyBorder="1" applyAlignment="1">
      <alignment horizontal="center" vertical="center"/>
    </xf>
    <xf numFmtId="167" fontId="16" fillId="0" borderId="26" xfId="1" applyNumberFormat="1" applyFont="1" applyFill="1" applyBorder="1" applyAlignment="1" applyProtection="1">
      <alignment vertical="center"/>
    </xf>
    <xf numFmtId="43" fontId="5" fillId="11" borderId="9" xfId="1" applyFont="1" applyFill="1" applyBorder="1" applyAlignment="1" applyProtection="1">
      <alignment vertical="center"/>
      <protection locked="0"/>
    </xf>
    <xf numFmtId="43" fontId="5" fillId="0" borderId="4" xfId="1" applyFont="1" applyBorder="1" applyAlignment="1" applyProtection="1">
      <alignment horizontal="left" vertical="center" wrapText="1"/>
    </xf>
    <xf numFmtId="43" fontId="5" fillId="0" borderId="4" xfId="1" applyFont="1" applyBorder="1" applyAlignment="1">
      <alignment vertical="center"/>
    </xf>
    <xf numFmtId="10" fontId="8" fillId="0" borderId="4" xfId="2" applyNumberFormat="1" applyFont="1" applyFill="1" applyBorder="1" applyAlignment="1" applyProtection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36" xfId="0" applyFont="1" applyFill="1" applyBorder="1" applyAlignment="1">
      <alignment horizontal="center" vertical="center" wrapText="1"/>
    </xf>
    <xf numFmtId="0" fontId="14" fillId="12" borderId="36" xfId="0" applyFont="1" applyFill="1" applyBorder="1" applyAlignment="1">
      <alignment horizontal="center" vertical="center" wrapText="1"/>
    </xf>
    <xf numFmtId="43" fontId="14" fillId="12" borderId="36" xfId="1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>
      <alignment vertical="center"/>
    </xf>
    <xf numFmtId="43" fontId="5" fillId="2" borderId="4" xfId="1" applyFont="1" applyFill="1" applyBorder="1" applyAlignment="1" applyProtection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23" fillId="0" borderId="0" xfId="0" applyFont="1" applyAlignment="1">
      <alignment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vertical="center" wrapText="1"/>
    </xf>
    <xf numFmtId="0" fontId="22" fillId="0" borderId="26" xfId="0" applyFont="1" applyBorder="1" applyAlignment="1">
      <alignment horizontal="center" vertical="center" wrapText="1"/>
    </xf>
    <xf numFmtId="43" fontId="22" fillId="0" borderId="26" xfId="1" applyFont="1" applyBorder="1" applyAlignment="1">
      <alignment vertical="center" wrapText="1"/>
    </xf>
    <xf numFmtId="43" fontId="22" fillId="0" borderId="26" xfId="1" applyFont="1" applyBorder="1" applyAlignment="1">
      <alignment horizontal="center" vertical="center" wrapText="1"/>
    </xf>
    <xf numFmtId="43" fontId="22" fillId="0" borderId="26" xfId="1" applyFont="1" applyBorder="1" applyAlignment="1">
      <alignment horizontal="right" vertical="center" wrapText="1"/>
    </xf>
    <xf numFmtId="43" fontId="23" fillId="0" borderId="26" xfId="1" applyFont="1" applyBorder="1" applyAlignment="1">
      <alignment horizontal="right" vertical="center" wrapText="1"/>
    </xf>
    <xf numFmtId="9" fontId="22" fillId="0" borderId="26" xfId="2" applyFont="1" applyBorder="1" applyAlignment="1">
      <alignment vertical="center" wrapText="1"/>
    </xf>
    <xf numFmtId="43" fontId="22" fillId="2" borderId="26" xfId="1" applyFont="1" applyFill="1" applyBorder="1" applyAlignment="1">
      <alignment horizontal="right" vertical="center" wrapText="1"/>
    </xf>
    <xf numFmtId="43" fontId="23" fillId="0" borderId="26" xfId="0" applyNumberFormat="1" applyFont="1" applyBorder="1" applyAlignment="1">
      <alignment horizontal="right" vertical="center" wrapText="1"/>
    </xf>
    <xf numFmtId="10" fontId="22" fillId="0" borderId="26" xfId="2" applyNumberFormat="1" applyFont="1" applyBorder="1" applyAlignment="1">
      <alignment vertical="center" wrapText="1"/>
    </xf>
    <xf numFmtId="43" fontId="22" fillId="0" borderId="26" xfId="0" applyNumberFormat="1" applyFont="1" applyBorder="1" applyAlignment="1">
      <alignment vertical="center" wrapText="1"/>
    </xf>
    <xf numFmtId="43" fontId="23" fillId="0" borderId="26" xfId="0" applyNumberFormat="1" applyFont="1" applyBorder="1" applyAlignment="1">
      <alignment vertical="center" wrapText="1"/>
    </xf>
    <xf numFmtId="43" fontId="24" fillId="0" borderId="26" xfId="1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right" vertical="center" wrapText="1"/>
    </xf>
    <xf numFmtId="0" fontId="23" fillId="0" borderId="1" xfId="0" applyFont="1" applyBorder="1" applyAlignment="1">
      <alignment vertical="center" wrapText="1"/>
    </xf>
    <xf numFmtId="43" fontId="22" fillId="0" borderId="1" xfId="0" applyNumberFormat="1" applyFont="1" applyBorder="1" applyAlignment="1">
      <alignment vertical="center" wrapText="1"/>
    </xf>
    <xf numFmtId="9" fontId="23" fillId="0" borderId="1" xfId="0" applyNumberFormat="1" applyFont="1" applyBorder="1" applyAlignment="1">
      <alignment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vertical="center" wrapText="1"/>
    </xf>
    <xf numFmtId="0" fontId="22" fillId="0" borderId="15" xfId="0" applyFont="1" applyBorder="1" applyAlignment="1">
      <alignment horizontal="right" vertical="center" wrapText="1"/>
    </xf>
    <xf numFmtId="0" fontId="23" fillId="0" borderId="15" xfId="0" applyFont="1" applyBorder="1" applyAlignment="1">
      <alignment vertical="center" wrapText="1"/>
    </xf>
    <xf numFmtId="43" fontId="22" fillId="0" borderId="15" xfId="0" applyNumberFormat="1" applyFont="1" applyBorder="1" applyAlignment="1">
      <alignment vertical="center" wrapText="1"/>
    </xf>
    <xf numFmtId="0" fontId="22" fillId="0" borderId="3" xfId="0" applyFont="1" applyBorder="1" applyAlignment="1">
      <alignment horizontal="center" vertical="center" wrapText="1"/>
    </xf>
    <xf numFmtId="0" fontId="23" fillId="0" borderId="26" xfId="0" applyFont="1" applyBorder="1" applyAlignment="1">
      <alignment vertical="center" wrapText="1"/>
    </xf>
    <xf numFmtId="0" fontId="5" fillId="0" borderId="34" xfId="0" applyFont="1" applyBorder="1" applyAlignment="1">
      <alignment vertical="center" wrapText="1"/>
    </xf>
    <xf numFmtId="0" fontId="5" fillId="0" borderId="43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44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0" borderId="33" xfId="0" applyFont="1" applyBorder="1" applyAlignment="1">
      <alignment vertical="center" wrapText="1"/>
    </xf>
    <xf numFmtId="10" fontId="22" fillId="0" borderId="1" xfId="0" applyNumberFormat="1" applyFont="1" applyBorder="1" applyAlignment="1">
      <alignment vertical="center" wrapText="1"/>
    </xf>
    <xf numFmtId="0" fontId="22" fillId="0" borderId="34" xfId="0" applyFont="1" applyBorder="1" applyAlignment="1">
      <alignment vertical="center" wrapText="1"/>
    </xf>
    <xf numFmtId="0" fontId="16" fillId="0" borderId="28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172" fontId="16" fillId="0" borderId="16" xfId="1" applyNumberFormat="1" applyFont="1" applyBorder="1" applyAlignment="1" applyProtection="1">
      <alignment vertical="center"/>
    </xf>
    <xf numFmtId="168" fontId="6" fillId="0" borderId="4" xfId="1" applyNumberFormat="1" applyFont="1" applyFill="1" applyBorder="1" applyAlignment="1" applyProtection="1">
      <alignment horizontal="center" vertical="center"/>
    </xf>
    <xf numFmtId="0" fontId="4" fillId="12" borderId="26" xfId="0" applyFont="1" applyFill="1" applyBorder="1" applyAlignment="1">
      <alignment vertical="center" wrapText="1"/>
    </xf>
    <xf numFmtId="0" fontId="16" fillId="0" borderId="26" xfId="0" applyFont="1" applyBorder="1" applyAlignment="1">
      <alignment horizontal="center" vertical="center" wrapText="1"/>
    </xf>
    <xf numFmtId="43" fontId="0" fillId="0" borderId="2" xfId="0" applyNumberFormat="1" applyBorder="1"/>
    <xf numFmtId="43" fontId="12" fillId="0" borderId="1" xfId="1" applyFont="1" applyBorder="1" applyAlignment="1" applyProtection="1">
      <alignment vertical="center"/>
    </xf>
    <xf numFmtId="43" fontId="0" fillId="0" borderId="1" xfId="0" applyNumberFormat="1" applyBorder="1" applyAlignment="1">
      <alignment vertical="center"/>
    </xf>
    <xf numFmtId="173" fontId="0" fillId="0" borderId="1" xfId="1" applyNumberFormat="1" applyFont="1" applyBorder="1" applyProtection="1"/>
    <xf numFmtId="0" fontId="22" fillId="0" borderId="3" xfId="0" applyFont="1" applyBorder="1" applyAlignment="1">
      <alignment vertical="center" wrapText="1"/>
    </xf>
    <xf numFmtId="10" fontId="5" fillId="0" borderId="3" xfId="2" applyNumberFormat="1" applyFont="1" applyBorder="1" applyProtection="1"/>
    <xf numFmtId="43" fontId="5" fillId="0" borderId="4" xfId="1" applyFont="1" applyFill="1" applyBorder="1" applyAlignment="1">
      <alignment vertical="center"/>
    </xf>
    <xf numFmtId="43" fontId="8" fillId="0" borderId="1" xfId="0" applyNumberFormat="1" applyFont="1" applyBorder="1"/>
    <xf numFmtId="0" fontId="4" fillId="4" borderId="4" xfId="0" applyFont="1" applyFill="1" applyBorder="1" applyAlignment="1">
      <alignment vertical="center" wrapText="1"/>
    </xf>
    <xf numFmtId="43" fontId="16" fillId="0" borderId="16" xfId="1" applyFont="1" applyBorder="1" applyAlignment="1" applyProtection="1">
      <alignment horizontal="center" vertical="center"/>
    </xf>
    <xf numFmtId="43" fontId="16" fillId="0" borderId="18" xfId="1" applyFont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10" fontId="0" fillId="0" borderId="0" xfId="2" applyNumberFormat="1" applyFont="1"/>
    <xf numFmtId="0" fontId="26" fillId="12" borderId="26" xfId="0" applyFont="1" applyFill="1" applyBorder="1" applyAlignment="1">
      <alignment horizontal="center" vertical="center" wrapText="1"/>
    </xf>
    <xf numFmtId="0" fontId="27" fillId="0" borderId="0" xfId="0" applyFont="1"/>
    <xf numFmtId="166" fontId="27" fillId="0" borderId="26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27" fillId="0" borderId="26" xfId="0" applyFont="1" applyBorder="1" applyAlignment="1">
      <alignment vertical="center" wrapText="1"/>
    </xf>
    <xf numFmtId="0" fontId="27" fillId="0" borderId="26" xfId="0" applyFont="1" applyBorder="1" applyAlignment="1">
      <alignment vertical="center"/>
    </xf>
    <xf numFmtId="43" fontId="27" fillId="0" borderId="26" xfId="1" applyFont="1" applyBorder="1" applyAlignment="1">
      <alignment vertical="center"/>
    </xf>
    <xf numFmtId="10" fontId="27" fillId="0" borderId="26" xfId="2" applyNumberFormat="1" applyFont="1" applyBorder="1" applyAlignment="1">
      <alignment vertical="center"/>
    </xf>
    <xf numFmtId="0" fontId="27" fillId="0" borderId="0" xfId="0" applyFont="1" applyAlignment="1">
      <alignment vertical="center"/>
    </xf>
    <xf numFmtId="43" fontId="26" fillId="4" borderId="26" xfId="1" applyFont="1" applyFill="1" applyBorder="1" applyAlignment="1">
      <alignment vertical="center"/>
    </xf>
    <xf numFmtId="0" fontId="28" fillId="0" borderId="26" xfId="0" applyFont="1" applyBorder="1" applyAlignment="1">
      <alignment vertical="center" wrapText="1"/>
    </xf>
    <xf numFmtId="0" fontId="26" fillId="0" borderId="0" xfId="0" applyFont="1" applyAlignment="1" applyProtection="1">
      <alignment wrapText="1"/>
      <protection locked="0"/>
    </xf>
    <xf numFmtId="43" fontId="5" fillId="0" borderId="1" xfId="1" applyFont="1" applyBorder="1" applyProtection="1"/>
    <xf numFmtId="43" fontId="8" fillId="0" borderId="1" xfId="1" applyFont="1" applyBorder="1" applyProtection="1"/>
    <xf numFmtId="4" fontId="8" fillId="0" borderId="3" xfId="0" applyNumberFormat="1" applyFont="1" applyBorder="1"/>
    <xf numFmtId="174" fontId="8" fillId="0" borderId="1" xfId="2" applyNumberFormat="1" applyFont="1" applyBorder="1" applyProtection="1"/>
    <xf numFmtId="43" fontId="22" fillId="0" borderId="1" xfId="1" applyFont="1" applyBorder="1" applyAlignment="1">
      <alignment vertical="center" wrapText="1"/>
    </xf>
    <xf numFmtId="10" fontId="5" fillId="0" borderId="1" xfId="2" applyNumberFormat="1" applyFont="1" applyBorder="1" applyAlignment="1" applyProtection="1">
      <alignment vertical="center" wrapText="1"/>
    </xf>
    <xf numFmtId="0" fontId="5" fillId="0" borderId="10" xfId="0" applyFont="1" applyBorder="1" applyAlignment="1">
      <alignment vertical="center"/>
    </xf>
    <xf numFmtId="43" fontId="22" fillId="0" borderId="26" xfId="1" applyFont="1" applyFill="1" applyBorder="1" applyAlignment="1">
      <alignment vertical="center" wrapText="1"/>
    </xf>
    <xf numFmtId="43" fontId="8" fillId="0" borderId="3" xfId="0" applyNumberFormat="1" applyFont="1" applyBorder="1"/>
    <xf numFmtId="43" fontId="5" fillId="0" borderId="3" xfId="1" applyFont="1" applyBorder="1"/>
    <xf numFmtId="10" fontId="8" fillId="0" borderId="1" xfId="2" applyNumberFormat="1" applyFont="1" applyBorder="1"/>
    <xf numFmtId="0" fontId="6" fillId="3" borderId="7" xfId="0" applyFont="1" applyFill="1" applyBorder="1" applyAlignment="1">
      <alignment vertical="center"/>
    </xf>
    <xf numFmtId="0" fontId="6" fillId="3" borderId="8" xfId="0" applyFont="1" applyFill="1" applyBorder="1" applyAlignment="1">
      <alignment vertical="center"/>
    </xf>
    <xf numFmtId="43" fontId="6" fillId="3" borderId="8" xfId="1" applyFont="1" applyFill="1" applyBorder="1" applyAlignment="1" applyProtection="1">
      <alignment vertical="center"/>
    </xf>
    <xf numFmtId="43" fontId="6" fillId="3" borderId="8" xfId="0" applyNumberFormat="1" applyFont="1" applyFill="1" applyBorder="1" applyAlignment="1">
      <alignment vertical="center"/>
    </xf>
    <xf numFmtId="43" fontId="6" fillId="3" borderId="4" xfId="1" applyFont="1" applyFill="1" applyBorder="1" applyAlignment="1" applyProtection="1">
      <alignment vertical="center"/>
    </xf>
    <xf numFmtId="167" fontId="30" fillId="0" borderId="4" xfId="1" applyNumberFormat="1" applyFont="1" applyBorder="1" applyAlignment="1" applyProtection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45" xfId="0" applyFont="1" applyBorder="1" applyAlignment="1">
      <alignment vertical="center" wrapText="1"/>
    </xf>
    <xf numFmtId="0" fontId="4" fillId="0" borderId="46" xfId="0" applyFont="1" applyBorder="1" applyAlignment="1">
      <alignment horizontal="left" vertical="center" wrapText="1"/>
    </xf>
    <xf numFmtId="0" fontId="5" fillId="0" borderId="46" xfId="0" applyFont="1" applyBorder="1" applyAlignment="1">
      <alignment vertical="center"/>
    </xf>
    <xf numFmtId="0" fontId="5" fillId="0" borderId="47" xfId="0" applyFont="1" applyBorder="1" applyAlignment="1">
      <alignment vertical="center" wrapText="1"/>
    </xf>
    <xf numFmtId="0" fontId="17" fillId="0" borderId="16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43" fontId="11" fillId="11" borderId="4" xfId="1" applyFont="1" applyFill="1" applyBorder="1" applyAlignment="1" applyProtection="1">
      <alignment vertical="center"/>
      <protection locked="0"/>
    </xf>
    <xf numFmtId="43" fontId="8" fillId="0" borderId="4" xfId="1" applyFont="1" applyBorder="1" applyAlignment="1" applyProtection="1">
      <alignment vertical="center"/>
    </xf>
    <xf numFmtId="175" fontId="5" fillId="0" borderId="3" xfId="1" applyNumberFormat="1" applyFont="1" applyBorder="1" applyProtection="1"/>
    <xf numFmtId="43" fontId="11" fillId="0" borderId="3" xfId="0" applyNumberFormat="1" applyFont="1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31" fillId="0" borderId="0" xfId="0" applyFont="1" applyAlignment="1">
      <alignment vertical="center"/>
    </xf>
    <xf numFmtId="0" fontId="0" fillId="0" borderId="52" xfId="0" applyBorder="1"/>
    <xf numFmtId="0" fontId="32" fillId="0" borderId="0" xfId="0" applyFont="1" applyAlignment="1">
      <alignment vertical="center"/>
    </xf>
    <xf numFmtId="0" fontId="33" fillId="0" borderId="0" xfId="0" applyFont="1"/>
    <xf numFmtId="0" fontId="34" fillId="0" borderId="0" xfId="0" applyFont="1"/>
    <xf numFmtId="0" fontId="35" fillId="0" borderId="0" xfId="0" applyFont="1"/>
    <xf numFmtId="0" fontId="35" fillId="0" borderId="52" xfId="0" applyFont="1" applyBorder="1"/>
    <xf numFmtId="0" fontId="35" fillId="0" borderId="0" xfId="0" applyFont="1" applyAlignment="1">
      <alignment wrapText="1"/>
    </xf>
    <xf numFmtId="0" fontId="35" fillId="0" borderId="52" xfId="0" applyFont="1" applyBorder="1" applyAlignment="1">
      <alignment wrapText="1"/>
    </xf>
    <xf numFmtId="0" fontId="35" fillId="0" borderId="0" xfId="0" applyFont="1" applyAlignment="1">
      <alignment vertical="top" wrapText="1"/>
    </xf>
    <xf numFmtId="0" fontId="35" fillId="0" borderId="52" xfId="0" applyFont="1" applyBorder="1" applyAlignment="1">
      <alignment vertical="top" wrapText="1"/>
    </xf>
    <xf numFmtId="0" fontId="0" fillId="0" borderId="53" xfId="0" applyBorder="1"/>
    <xf numFmtId="0" fontId="0" fillId="0" borderId="54" xfId="0" applyBorder="1"/>
    <xf numFmtId="0" fontId="0" fillId="0" borderId="55" xfId="0" applyBorder="1"/>
    <xf numFmtId="176" fontId="5" fillId="0" borderId="3" xfId="0" applyNumberFormat="1" applyFont="1" applyBorder="1"/>
    <xf numFmtId="10" fontId="5" fillId="0" borderId="3" xfId="2" applyNumberFormat="1" applyFont="1" applyBorder="1"/>
    <xf numFmtId="0" fontId="0" fillId="0" borderId="26" xfId="0" applyBorder="1" applyAlignment="1">
      <alignment horizontal="center"/>
    </xf>
    <xf numFmtId="10" fontId="8" fillId="0" borderId="4" xfId="2" applyNumberFormat="1" applyFont="1" applyBorder="1" applyAlignment="1" applyProtection="1">
      <alignment vertical="center"/>
    </xf>
    <xf numFmtId="10" fontId="8" fillId="0" borderId="61" xfId="0" applyNumberFormat="1" applyFont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10" fontId="8" fillId="0" borderId="5" xfId="0" applyNumberFormat="1" applyFont="1" applyBorder="1" applyAlignment="1">
      <alignment vertical="center"/>
    </xf>
    <xf numFmtId="177" fontId="5" fillId="0" borderId="0" xfId="0" applyNumberFormat="1" applyFont="1"/>
    <xf numFmtId="0" fontId="5" fillId="0" borderId="14" xfId="0" applyFont="1" applyBorder="1"/>
    <xf numFmtId="0" fontId="8" fillId="0" borderId="0" xfId="0" applyFont="1"/>
    <xf numFmtId="10" fontId="8" fillId="0" borderId="0" xfId="0" applyNumberFormat="1" applyFont="1" applyAlignment="1">
      <alignment vertical="center"/>
    </xf>
    <xf numFmtId="0" fontId="5" fillId="0" borderId="13" xfId="0" applyFont="1" applyBorder="1"/>
    <xf numFmtId="9" fontId="5" fillId="0" borderId="33" xfId="2" applyFont="1" applyBorder="1"/>
    <xf numFmtId="10" fontId="8" fillId="0" borderId="15" xfId="0" applyNumberFormat="1" applyFont="1" applyBorder="1"/>
    <xf numFmtId="0" fontId="8" fillId="0" borderId="25" xfId="0" applyFont="1" applyBorder="1"/>
    <xf numFmtId="0" fontId="11" fillId="0" borderId="2" xfId="0" applyFont="1" applyBorder="1"/>
    <xf numFmtId="10" fontId="37" fillId="0" borderId="4" xfId="2" applyNumberFormat="1" applyFont="1" applyBorder="1" applyAlignment="1" applyProtection="1">
      <alignment vertical="center"/>
    </xf>
    <xf numFmtId="178" fontId="5" fillId="0" borderId="1" xfId="0" applyNumberFormat="1" applyFont="1" applyBorder="1"/>
    <xf numFmtId="43" fontId="0" fillId="0" borderId="0" xfId="0" applyNumberFormat="1"/>
    <xf numFmtId="10" fontId="5" fillId="0" borderId="3" xfId="2" applyNumberFormat="1" applyFont="1" applyBorder="1" applyAlignment="1" applyProtection="1">
      <alignment vertical="center" wrapText="1"/>
    </xf>
    <xf numFmtId="43" fontId="5" fillId="0" borderId="0" xfId="1" applyFont="1" applyFill="1" applyBorder="1" applyAlignment="1" applyProtection="1">
      <alignment vertical="center" wrapText="1"/>
    </xf>
    <xf numFmtId="43" fontId="5" fillId="0" borderId="0" xfId="0" applyNumberFormat="1" applyFont="1" applyAlignment="1">
      <alignment vertical="center" wrapText="1"/>
    </xf>
    <xf numFmtId="43" fontId="6" fillId="0" borderId="0" xfId="1" applyFont="1" applyFill="1" applyBorder="1" applyAlignment="1" applyProtection="1">
      <alignment vertical="center"/>
    </xf>
    <xf numFmtId="0" fontId="37" fillId="0" borderId="62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 wrapText="1"/>
    </xf>
    <xf numFmtId="166" fontId="6" fillId="9" borderId="4" xfId="0" applyNumberFormat="1" applyFont="1" applyFill="1" applyBorder="1" applyAlignment="1">
      <alignment vertical="center" wrapText="1"/>
    </xf>
    <xf numFmtId="0" fontId="38" fillId="0" borderId="46" xfId="8" applyBorder="1"/>
    <xf numFmtId="0" fontId="38" fillId="0" borderId="0" xfId="8"/>
    <xf numFmtId="1" fontId="38" fillId="0" borderId="0" xfId="8" applyNumberFormat="1"/>
    <xf numFmtId="10" fontId="5" fillId="11" borderId="4" xfId="2" applyNumberFormat="1" applyFont="1" applyFill="1" applyBorder="1" applyAlignment="1" applyProtection="1">
      <alignment horizontal="center" vertical="center"/>
      <protection locked="0"/>
    </xf>
    <xf numFmtId="10" fontId="5" fillId="0" borderId="4" xfId="2" applyNumberFormat="1" applyFont="1" applyBorder="1" applyAlignment="1" applyProtection="1">
      <alignment horizontal="center" vertical="center" wrapText="1"/>
    </xf>
    <xf numFmtId="43" fontId="5" fillId="11" borderId="4" xfId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6" fillId="3" borderId="8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10" fillId="8" borderId="7" xfId="0" applyFont="1" applyFill="1" applyBorder="1" applyAlignment="1" applyProtection="1">
      <alignment horizontal="left" vertical="center" wrapText="1"/>
      <protection locked="0"/>
    </xf>
    <xf numFmtId="0" fontId="10" fillId="8" borderId="8" xfId="0" applyFont="1" applyFill="1" applyBorder="1" applyAlignment="1" applyProtection="1">
      <alignment horizontal="left" vertical="center" wrapText="1"/>
      <protection locked="0"/>
    </xf>
    <xf numFmtId="0" fontId="10" fillId="8" borderId="9" xfId="0" applyFont="1" applyFill="1" applyBorder="1" applyAlignment="1" applyProtection="1">
      <alignment horizontal="left" vertical="center" wrapText="1"/>
      <protection locked="0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5" fillId="0" borderId="7" xfId="0" applyFont="1" applyBorder="1" applyAlignment="1" applyProtection="1">
      <alignment horizontal="left"/>
      <protection locked="0"/>
    </xf>
    <xf numFmtId="0" fontId="5" fillId="0" borderId="8" xfId="0" applyFont="1" applyBorder="1" applyAlignment="1" applyProtection="1">
      <alignment horizontal="left"/>
      <protection locked="0"/>
    </xf>
    <xf numFmtId="0" fontId="5" fillId="0" borderId="9" xfId="0" applyFont="1" applyBorder="1" applyAlignment="1" applyProtection="1">
      <alignment horizontal="left"/>
      <protection locked="0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9" fillId="7" borderId="4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 applyProtection="1">
      <alignment horizontal="justify" vertical="center" wrapText="1"/>
      <protection locked="0"/>
    </xf>
    <xf numFmtId="0" fontId="10" fillId="8" borderId="7" xfId="0" applyFont="1" applyFill="1" applyBorder="1" applyAlignment="1" applyProtection="1">
      <alignment horizontal="center" vertical="center" wrapText="1"/>
      <protection locked="0"/>
    </xf>
    <xf numFmtId="0" fontId="10" fillId="8" borderId="9" xfId="0" applyFont="1" applyFill="1" applyBorder="1" applyAlignment="1" applyProtection="1">
      <alignment horizontal="center" vertical="center" wrapText="1"/>
      <protection locked="0"/>
    </xf>
    <xf numFmtId="0" fontId="9" fillId="6" borderId="4" xfId="0" applyFont="1" applyFill="1" applyBorder="1" applyAlignment="1">
      <alignment horizontal="center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9" fillId="7" borderId="5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4" fillId="2" borderId="4" xfId="0" applyFont="1" applyFill="1" applyBorder="1" applyAlignment="1">
      <alignment horizontal="left" vertical="center"/>
    </xf>
    <xf numFmtId="10" fontId="5" fillId="11" borderId="7" xfId="2" applyNumberFormat="1" applyFont="1" applyFill="1" applyBorder="1" applyAlignment="1" applyProtection="1">
      <alignment horizontal="left" vertical="center"/>
      <protection locked="0"/>
    </xf>
    <xf numFmtId="10" fontId="5" fillId="11" borderId="8" xfId="2" applyNumberFormat="1" applyFont="1" applyFill="1" applyBorder="1" applyAlignment="1" applyProtection="1">
      <alignment horizontal="left" vertical="center"/>
      <protection locked="0"/>
    </xf>
    <xf numFmtId="10" fontId="5" fillId="11" borderId="9" xfId="2" applyNumberFormat="1" applyFont="1" applyFill="1" applyBorder="1" applyAlignment="1" applyProtection="1">
      <alignment horizontal="left" vertical="center"/>
      <protection locked="0"/>
    </xf>
    <xf numFmtId="0" fontId="25" fillId="4" borderId="7" xfId="0" applyFont="1" applyFill="1" applyBorder="1" applyAlignment="1" applyProtection="1">
      <alignment horizontal="left" vertical="center"/>
      <protection locked="0"/>
    </xf>
    <xf numFmtId="0" fontId="25" fillId="4" borderId="8" xfId="0" applyFont="1" applyFill="1" applyBorder="1" applyAlignment="1" applyProtection="1">
      <alignment horizontal="left" vertical="center"/>
      <protection locked="0"/>
    </xf>
    <xf numFmtId="0" fontId="25" fillId="4" borderId="9" xfId="0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4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9" xfId="0" applyFont="1" applyFill="1" applyBorder="1" applyAlignment="1">
      <alignment horizontal="right" vertical="center"/>
    </xf>
    <xf numFmtId="0" fontId="4" fillId="4" borderId="63" xfId="0" applyFont="1" applyFill="1" applyBorder="1" applyAlignment="1">
      <alignment horizontal="right" vertical="center"/>
    </xf>
    <xf numFmtId="166" fontId="6" fillId="9" borderId="7" xfId="0" applyNumberFormat="1" applyFont="1" applyFill="1" applyBorder="1" applyAlignment="1">
      <alignment horizontal="center" vertical="center" wrapText="1"/>
    </xf>
    <xf numFmtId="166" fontId="6" fillId="9" borderId="8" xfId="0" applyNumberFormat="1" applyFont="1" applyFill="1" applyBorder="1" applyAlignment="1">
      <alignment horizontal="center" vertical="center" wrapText="1"/>
    </xf>
    <xf numFmtId="166" fontId="6" fillId="9" borderId="9" xfId="0" applyNumberFormat="1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168" fontId="5" fillId="2" borderId="4" xfId="1" applyNumberFormat="1" applyFont="1" applyFill="1" applyBorder="1" applyAlignment="1" applyProtection="1">
      <alignment horizontal="center" vertical="center"/>
    </xf>
    <xf numFmtId="10" fontId="5" fillId="2" borderId="4" xfId="2" applyNumberFormat="1" applyFont="1" applyFill="1" applyBorder="1" applyAlignment="1" applyProtection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  <xf numFmtId="166" fontId="6" fillId="10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right" vertical="center"/>
    </xf>
    <xf numFmtId="0" fontId="4" fillId="3" borderId="4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43" fontId="5" fillId="11" borderId="7" xfId="1" applyFont="1" applyFill="1" applyBorder="1" applyAlignment="1" applyProtection="1">
      <alignment horizontal="left" vertical="center" wrapText="1"/>
      <protection locked="0"/>
    </xf>
    <xf numFmtId="43" fontId="5" fillId="11" borderId="9" xfId="1" applyFont="1" applyFill="1" applyBorder="1" applyAlignment="1" applyProtection="1">
      <alignment horizontal="left" vertical="center" wrapText="1"/>
      <protection locked="0"/>
    </xf>
    <xf numFmtId="0" fontId="36" fillId="0" borderId="56" xfId="0" applyFont="1" applyBorder="1" applyAlignment="1">
      <alignment horizontal="left" vertical="center"/>
    </xf>
    <xf numFmtId="0" fontId="36" fillId="0" borderId="57" xfId="0" applyFont="1" applyBorder="1" applyAlignment="1">
      <alignment horizontal="left" vertical="center"/>
    </xf>
    <xf numFmtId="0" fontId="36" fillId="0" borderId="58" xfId="0" applyFont="1" applyBorder="1" applyAlignment="1">
      <alignment horizontal="left" vertical="center"/>
    </xf>
    <xf numFmtId="0" fontId="36" fillId="0" borderId="59" xfId="0" applyFont="1" applyBorder="1" applyAlignment="1">
      <alignment horizontal="left" vertical="center"/>
    </xf>
    <xf numFmtId="0" fontId="36" fillId="0" borderId="46" xfId="0" applyFont="1" applyBorder="1" applyAlignment="1">
      <alignment horizontal="left" vertical="center"/>
    </xf>
    <xf numFmtId="0" fontId="36" fillId="0" borderId="6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6" fillId="3" borderId="5" xfId="1" applyNumberFormat="1" applyFont="1" applyFill="1" applyBorder="1" applyAlignment="1" applyProtection="1">
      <alignment horizontal="center" vertical="center" wrapText="1"/>
    </xf>
    <xf numFmtId="0" fontId="6" fillId="3" borderId="6" xfId="1" applyNumberFormat="1" applyFont="1" applyFill="1" applyBorder="1" applyAlignment="1" applyProtection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4" fillId="5" borderId="7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left" vertical="center" wrapText="1"/>
    </xf>
    <xf numFmtId="43" fontId="5" fillId="0" borderId="14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top" wrapText="1"/>
    </xf>
    <xf numFmtId="0" fontId="4" fillId="0" borderId="42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43" fontId="6" fillId="3" borderId="5" xfId="1" applyFont="1" applyFill="1" applyBorder="1" applyAlignment="1" applyProtection="1">
      <alignment horizontal="center" vertical="center" wrapText="1"/>
    </xf>
    <xf numFmtId="43" fontId="6" fillId="3" borderId="6" xfId="1" applyFont="1" applyFill="1" applyBorder="1" applyAlignment="1" applyProtection="1">
      <alignment horizontal="center" vertical="center" wrapText="1"/>
    </xf>
    <xf numFmtId="43" fontId="16" fillId="0" borderId="36" xfId="1" applyFont="1" applyBorder="1" applyAlignment="1" applyProtection="1">
      <alignment horizontal="center" vertical="center"/>
    </xf>
    <xf numFmtId="43" fontId="16" fillId="0" borderId="37" xfId="1" applyFont="1" applyBorder="1" applyAlignment="1" applyProtection="1">
      <alignment horizontal="center" vertical="center"/>
    </xf>
    <xf numFmtId="43" fontId="16" fillId="0" borderId="38" xfId="1" applyFont="1" applyBorder="1" applyAlignment="1" applyProtection="1">
      <alignment horizontal="center" vertical="center"/>
    </xf>
    <xf numFmtId="0" fontId="17" fillId="0" borderId="16" xfId="0" applyFont="1" applyBorder="1" applyAlignment="1">
      <alignment horizontal="left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166" fontId="14" fillId="14" borderId="16" xfId="0" applyNumberFormat="1" applyFont="1" applyFill="1" applyBorder="1" applyAlignment="1">
      <alignment horizontal="center" vertical="center" wrapText="1"/>
    </xf>
    <xf numFmtId="166" fontId="14" fillId="14" borderId="17" xfId="0" applyNumberFormat="1" applyFont="1" applyFill="1" applyBorder="1" applyAlignment="1">
      <alignment horizontal="center" vertical="center" wrapText="1"/>
    </xf>
    <xf numFmtId="166" fontId="14" fillId="14" borderId="18" xfId="0" applyNumberFormat="1" applyFont="1" applyFill="1" applyBorder="1" applyAlignment="1">
      <alignment horizontal="center" vertical="center" wrapText="1"/>
    </xf>
    <xf numFmtId="43" fontId="15" fillId="4" borderId="16" xfId="1" applyFont="1" applyFill="1" applyBorder="1" applyAlignment="1" applyProtection="1">
      <alignment horizontal="right" vertical="center"/>
    </xf>
    <xf numFmtId="43" fontId="15" fillId="4" borderId="17" xfId="1" applyFont="1" applyFill="1" applyBorder="1" applyAlignment="1" applyProtection="1">
      <alignment horizontal="right" vertical="center"/>
    </xf>
    <xf numFmtId="43" fontId="15" fillId="4" borderId="18" xfId="1" applyFont="1" applyFill="1" applyBorder="1" applyAlignment="1" applyProtection="1">
      <alignment horizontal="right" vertical="center"/>
    </xf>
    <xf numFmtId="43" fontId="15" fillId="12" borderId="16" xfId="0" applyNumberFormat="1" applyFont="1" applyFill="1" applyBorder="1" applyAlignment="1">
      <alignment horizontal="center" vertical="center"/>
    </xf>
    <xf numFmtId="43" fontId="15" fillId="12" borderId="18" xfId="0" applyNumberFormat="1" applyFont="1" applyFill="1" applyBorder="1" applyAlignment="1">
      <alignment horizontal="center" vertical="center"/>
    </xf>
    <xf numFmtId="43" fontId="16" fillId="0" borderId="16" xfId="1" applyFont="1" applyFill="1" applyBorder="1" applyAlignment="1" applyProtection="1">
      <alignment horizontal="center" vertical="center"/>
    </xf>
    <xf numFmtId="43" fontId="16" fillId="0" borderId="18" xfId="1" applyFont="1" applyFill="1" applyBorder="1" applyAlignment="1" applyProtection="1">
      <alignment horizontal="center" vertical="center"/>
    </xf>
    <xf numFmtId="0" fontId="15" fillId="13" borderId="16" xfId="0" applyFont="1" applyFill="1" applyBorder="1" applyAlignment="1">
      <alignment horizontal="center" vertical="center"/>
    </xf>
    <xf numFmtId="0" fontId="15" fillId="13" borderId="17" xfId="0" applyFont="1" applyFill="1" applyBorder="1" applyAlignment="1">
      <alignment horizontal="center" vertical="center"/>
    </xf>
    <xf numFmtId="0" fontId="15" fillId="13" borderId="18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0" fillId="0" borderId="18" xfId="0" applyBorder="1" applyAlignment="1"/>
    <xf numFmtId="0" fontId="15" fillId="12" borderId="16" xfId="0" applyFont="1" applyFill="1" applyBorder="1" applyAlignment="1">
      <alignment horizontal="right" vertical="center"/>
    </xf>
    <xf numFmtId="0" fontId="15" fillId="12" borderId="17" xfId="0" applyFont="1" applyFill="1" applyBorder="1" applyAlignment="1">
      <alignment horizontal="right" vertical="center"/>
    </xf>
    <xf numFmtId="0" fontId="15" fillId="12" borderId="18" xfId="0" applyFont="1" applyFill="1" applyBorder="1" applyAlignment="1">
      <alignment horizontal="right" vertical="center"/>
    </xf>
    <xf numFmtId="0" fontId="0" fillId="0" borderId="17" xfId="0" applyBorder="1" applyAlignment="1"/>
    <xf numFmtId="166" fontId="14" fillId="14" borderId="16" xfId="0" applyNumberFormat="1" applyFont="1" applyFill="1" applyBorder="1" applyAlignment="1">
      <alignment horizontal="center" vertical="center"/>
    </xf>
    <xf numFmtId="166" fontId="14" fillId="14" borderId="17" xfId="0" applyNumberFormat="1" applyFont="1" applyFill="1" applyBorder="1" applyAlignment="1">
      <alignment horizontal="center" vertical="center"/>
    </xf>
    <xf numFmtId="166" fontId="14" fillId="14" borderId="18" xfId="0" applyNumberFormat="1" applyFont="1" applyFill="1" applyBorder="1" applyAlignment="1">
      <alignment horizontal="center" vertical="center"/>
    </xf>
    <xf numFmtId="166" fontId="14" fillId="14" borderId="36" xfId="0" applyNumberFormat="1" applyFont="1" applyFill="1" applyBorder="1" applyAlignment="1">
      <alignment horizontal="center" vertical="center" wrapText="1"/>
    </xf>
    <xf numFmtId="166" fontId="14" fillId="14" borderId="38" xfId="0" applyNumberFormat="1" applyFont="1" applyFill="1" applyBorder="1" applyAlignment="1">
      <alignment horizontal="center" vertical="center" wrapText="1"/>
    </xf>
    <xf numFmtId="166" fontId="14" fillId="14" borderId="20" xfId="0" applyNumberFormat="1" applyFont="1" applyFill="1" applyBorder="1" applyAlignment="1">
      <alignment horizontal="center" vertical="center"/>
    </xf>
    <xf numFmtId="0" fontId="0" fillId="0" borderId="35" xfId="0" applyBorder="1" applyAlignment="1"/>
    <xf numFmtId="0" fontId="0" fillId="0" borderId="31" xfId="0" applyBorder="1" applyAlignment="1"/>
    <xf numFmtId="0" fontId="0" fillId="0" borderId="41" xfId="0" applyBorder="1" applyAlignment="1"/>
    <xf numFmtId="10" fontId="29" fillId="0" borderId="16" xfId="2" applyNumberFormat="1" applyFont="1" applyFill="1" applyBorder="1" applyAlignment="1" applyProtection="1">
      <alignment horizontal="center" vertical="center"/>
      <protection locked="0"/>
    </xf>
    <xf numFmtId="10" fontId="29" fillId="0" borderId="17" xfId="2" applyNumberFormat="1" applyFont="1" applyFill="1" applyBorder="1" applyAlignment="1" applyProtection="1">
      <alignment horizontal="center" vertical="center"/>
      <protection locked="0"/>
    </xf>
    <xf numFmtId="10" fontId="29" fillId="0" borderId="18" xfId="2" applyNumberFormat="1" applyFont="1" applyFill="1" applyBorder="1" applyAlignment="1" applyProtection="1">
      <alignment horizontal="center" vertical="center"/>
      <protection locked="0"/>
    </xf>
    <xf numFmtId="43" fontId="16" fillId="0" borderId="36" xfId="1" applyFont="1" applyFill="1" applyBorder="1" applyAlignment="1" applyProtection="1">
      <alignment horizontal="center" vertical="center"/>
    </xf>
    <xf numFmtId="43" fontId="16" fillId="0" borderId="37" xfId="1" applyFont="1" applyFill="1" applyBorder="1" applyAlignment="1" applyProtection="1">
      <alignment horizontal="center" vertical="center"/>
    </xf>
    <xf numFmtId="43" fontId="16" fillId="0" borderId="38" xfId="1" applyFont="1" applyFill="1" applyBorder="1" applyAlignment="1" applyProtection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2" borderId="26" xfId="0" applyFont="1" applyFill="1" applyBorder="1" applyAlignment="1">
      <alignment horizontal="left" vertical="center"/>
    </xf>
    <xf numFmtId="0" fontId="16" fillId="0" borderId="26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6" fillId="0" borderId="18" xfId="0" applyFont="1" applyBorder="1" applyAlignment="1">
      <alignment horizontal="left" vertical="center"/>
    </xf>
    <xf numFmtId="0" fontId="15" fillId="2" borderId="16" xfId="0" applyFont="1" applyFill="1" applyBorder="1" applyAlignment="1">
      <alignment horizontal="left" vertical="center"/>
    </xf>
    <xf numFmtId="0" fontId="15" fillId="2" borderId="18" xfId="0" applyFont="1" applyFill="1" applyBorder="1" applyAlignment="1">
      <alignment horizontal="left" vertical="center"/>
    </xf>
    <xf numFmtId="10" fontId="20" fillId="0" borderId="16" xfId="2" applyNumberFormat="1" applyFont="1" applyFill="1" applyBorder="1" applyAlignment="1" applyProtection="1">
      <alignment horizontal="left" vertical="center"/>
      <protection locked="0"/>
    </xf>
    <xf numFmtId="10" fontId="20" fillId="0" borderId="18" xfId="2" applyNumberFormat="1" applyFont="1" applyFill="1" applyBorder="1" applyAlignment="1" applyProtection="1">
      <alignment horizontal="left" vertical="center"/>
      <protection locked="0"/>
    </xf>
    <xf numFmtId="10" fontId="16" fillId="0" borderId="16" xfId="2" applyNumberFormat="1" applyFont="1" applyFill="1" applyBorder="1" applyAlignment="1" applyProtection="1">
      <alignment horizontal="center" vertical="center"/>
    </xf>
    <xf numFmtId="10" fontId="16" fillId="0" borderId="17" xfId="2" applyNumberFormat="1" applyFont="1" applyFill="1" applyBorder="1" applyAlignment="1" applyProtection="1">
      <alignment horizontal="center" vertical="center"/>
    </xf>
    <xf numFmtId="10" fontId="16" fillId="0" borderId="18" xfId="2" applyNumberFormat="1" applyFont="1" applyFill="1" applyBorder="1" applyAlignment="1" applyProtection="1">
      <alignment horizontal="center" vertical="center"/>
    </xf>
    <xf numFmtId="0" fontId="16" fillId="0" borderId="16" xfId="1" applyNumberFormat="1" applyFont="1" applyFill="1" applyBorder="1" applyAlignment="1" applyProtection="1">
      <alignment horizontal="left" vertical="center"/>
    </xf>
    <xf numFmtId="0" fontId="16" fillId="0" borderId="17" xfId="1" applyNumberFormat="1" applyFont="1" applyFill="1" applyBorder="1" applyAlignment="1" applyProtection="1">
      <alignment horizontal="left" vertical="center"/>
    </xf>
    <xf numFmtId="0" fontId="16" fillId="0" borderId="18" xfId="1" applyNumberFormat="1" applyFont="1" applyFill="1" applyBorder="1" applyAlignment="1" applyProtection="1">
      <alignment horizontal="left" vertical="center"/>
    </xf>
    <xf numFmtId="10" fontId="16" fillId="0" borderId="16" xfId="2" applyNumberFormat="1" applyFont="1" applyFill="1" applyBorder="1" applyAlignment="1" applyProtection="1">
      <alignment horizontal="left" vertical="center"/>
    </xf>
    <xf numFmtId="10" fontId="16" fillId="0" borderId="17" xfId="2" applyNumberFormat="1" applyFont="1" applyFill="1" applyBorder="1" applyAlignment="1" applyProtection="1">
      <alignment horizontal="left" vertical="center"/>
    </xf>
    <xf numFmtId="10" fontId="16" fillId="0" borderId="18" xfId="2" applyNumberFormat="1" applyFont="1" applyFill="1" applyBorder="1" applyAlignment="1" applyProtection="1">
      <alignment horizontal="left" vertical="center"/>
    </xf>
    <xf numFmtId="0" fontId="15" fillId="4" borderId="26" xfId="0" applyFont="1" applyFill="1" applyBorder="1" applyAlignment="1">
      <alignment horizontal="left" vertical="center"/>
    </xf>
    <xf numFmtId="0" fontId="15" fillId="4" borderId="16" xfId="0" applyFont="1" applyFill="1" applyBorder="1" applyAlignment="1">
      <alignment horizontal="right" vertical="center"/>
    </xf>
    <xf numFmtId="0" fontId="15" fillId="4" borderId="17" xfId="0" applyFont="1" applyFill="1" applyBorder="1" applyAlignment="1">
      <alignment horizontal="right" vertical="center"/>
    </xf>
    <xf numFmtId="0" fontId="15" fillId="4" borderId="18" xfId="0" applyFont="1" applyFill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15" fillId="5" borderId="17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20" fillId="0" borderId="16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17" fillId="0" borderId="20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10" fontId="16" fillId="0" borderId="16" xfId="2" applyNumberFormat="1" applyFont="1" applyBorder="1" applyAlignment="1" applyProtection="1">
      <alignment vertical="center"/>
    </xf>
    <xf numFmtId="10" fontId="16" fillId="0" borderId="18" xfId="2" applyNumberFormat="1" applyFont="1" applyBorder="1" applyAlignment="1" applyProtection="1">
      <alignment vertic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10" fontId="16" fillId="0" borderId="16" xfId="2" applyNumberFormat="1" applyFont="1" applyBorder="1" applyAlignment="1" applyProtection="1">
      <alignment horizontal="right" vertical="center"/>
    </xf>
    <xf numFmtId="10" fontId="16" fillId="0" borderId="18" xfId="2" applyNumberFormat="1" applyFont="1" applyBorder="1" applyAlignment="1" applyProtection="1">
      <alignment horizontal="right" vertical="center"/>
    </xf>
    <xf numFmtId="0" fontId="0" fillId="0" borderId="26" xfId="0" applyBorder="1" applyAlignment="1">
      <alignment horizontal="center"/>
    </xf>
    <xf numFmtId="10" fontId="15" fillId="4" borderId="16" xfId="0" applyNumberFormat="1" applyFont="1" applyFill="1" applyBorder="1" applyAlignment="1">
      <alignment vertical="center"/>
    </xf>
    <xf numFmtId="10" fontId="15" fillId="4" borderId="18" xfId="0" applyNumberFormat="1" applyFont="1" applyFill="1" applyBorder="1" applyAlignment="1">
      <alignment vertical="center"/>
    </xf>
    <xf numFmtId="10" fontId="15" fillId="4" borderId="16" xfId="0" applyNumberFormat="1" applyFont="1" applyFill="1" applyBorder="1" applyAlignment="1">
      <alignment horizontal="right" vertical="center"/>
    </xf>
    <xf numFmtId="10" fontId="15" fillId="4" borderId="18" xfId="0" applyNumberFormat="1" applyFont="1" applyFill="1" applyBorder="1" applyAlignment="1">
      <alignment horizontal="right" vertical="center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5" fillId="4" borderId="16" xfId="0" applyFont="1" applyFill="1" applyBorder="1" applyAlignment="1">
      <alignment horizontal="left" vertical="center"/>
    </xf>
    <xf numFmtId="0" fontId="15" fillId="4" borderId="17" xfId="0" applyFont="1" applyFill="1" applyBorder="1" applyAlignment="1">
      <alignment horizontal="left" vertical="center"/>
    </xf>
    <xf numFmtId="0" fontId="15" fillId="4" borderId="18" xfId="0" applyFont="1" applyFill="1" applyBorder="1" applyAlignment="1">
      <alignment horizontal="left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43" fontId="16" fillId="0" borderId="17" xfId="1" applyFont="1" applyFill="1" applyBorder="1" applyAlignment="1" applyProtection="1">
      <alignment horizontal="center" vertical="center"/>
    </xf>
    <xf numFmtId="0" fontId="15" fillId="3" borderId="16" xfId="0" applyFont="1" applyFill="1" applyBorder="1" applyAlignment="1">
      <alignment horizontal="right" vertical="center"/>
    </xf>
    <xf numFmtId="0" fontId="15" fillId="3" borderId="17" xfId="0" applyFont="1" applyFill="1" applyBorder="1" applyAlignment="1">
      <alignment horizontal="right" vertical="center"/>
    </xf>
    <xf numFmtId="0" fontId="15" fillId="3" borderId="18" xfId="0" applyFont="1" applyFill="1" applyBorder="1" applyAlignment="1">
      <alignment horizontal="right" vertical="center"/>
    </xf>
    <xf numFmtId="10" fontId="15" fillId="3" borderId="17" xfId="0" applyNumberFormat="1" applyFont="1" applyFill="1" applyBorder="1" applyAlignment="1">
      <alignment horizontal="right" vertical="center"/>
    </xf>
    <xf numFmtId="10" fontId="15" fillId="3" borderId="18" xfId="0" applyNumberFormat="1" applyFont="1" applyFill="1" applyBorder="1" applyAlignment="1">
      <alignment horizontal="right" vertical="center"/>
    </xf>
    <xf numFmtId="43" fontId="16" fillId="2" borderId="16" xfId="1" applyFont="1" applyFill="1" applyBorder="1" applyAlignment="1" applyProtection="1">
      <alignment horizontal="center" vertical="center"/>
    </xf>
    <xf numFmtId="43" fontId="16" fillId="2" borderId="17" xfId="1" applyFont="1" applyFill="1" applyBorder="1" applyAlignment="1" applyProtection="1">
      <alignment horizontal="center" vertical="center"/>
    </xf>
    <xf numFmtId="43" fontId="16" fillId="2" borderId="18" xfId="1" applyFont="1" applyFill="1" applyBorder="1" applyAlignment="1" applyProtection="1">
      <alignment horizontal="center" vertical="center"/>
    </xf>
    <xf numFmtId="43" fontId="15" fillId="4" borderId="16" xfId="1" applyFont="1" applyFill="1" applyBorder="1" applyAlignment="1" applyProtection="1">
      <alignment horizontal="center" vertical="center"/>
    </xf>
    <xf numFmtId="43" fontId="15" fillId="4" borderId="17" xfId="1" applyFont="1" applyFill="1" applyBorder="1" applyAlignment="1" applyProtection="1">
      <alignment horizontal="center" vertical="center"/>
    </xf>
    <xf numFmtId="43" fontId="15" fillId="4" borderId="18" xfId="1" applyFont="1" applyFill="1" applyBorder="1" applyAlignment="1" applyProtection="1">
      <alignment horizontal="center" vertical="center"/>
    </xf>
    <xf numFmtId="43" fontId="16" fillId="0" borderId="16" xfId="1" applyFont="1" applyBorder="1" applyAlignment="1" applyProtection="1">
      <alignment horizontal="right" vertical="center"/>
    </xf>
    <xf numFmtId="43" fontId="16" fillId="0" borderId="17" xfId="1" applyFont="1" applyBorder="1" applyAlignment="1" applyProtection="1">
      <alignment horizontal="right" vertical="center"/>
    </xf>
    <xf numFmtId="43" fontId="16" fillId="0" borderId="18" xfId="1" applyFont="1" applyBorder="1" applyAlignment="1" applyProtection="1">
      <alignment horizontal="right" vertical="center"/>
    </xf>
    <xf numFmtId="0" fontId="14" fillId="3" borderId="16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left" vertical="center"/>
    </xf>
    <xf numFmtId="0" fontId="14" fillId="3" borderId="18" xfId="0" applyFont="1" applyFill="1" applyBorder="1" applyAlignment="1">
      <alignment horizontal="left" vertical="center"/>
    </xf>
    <xf numFmtId="43" fontId="15" fillId="3" borderId="16" xfId="1" applyFont="1" applyFill="1" applyBorder="1" applyAlignment="1" applyProtection="1">
      <alignment horizontal="center" vertical="center"/>
    </xf>
    <xf numFmtId="43" fontId="15" fillId="3" borderId="17" xfId="1" applyFont="1" applyFill="1" applyBorder="1" applyAlignment="1" applyProtection="1">
      <alignment horizontal="center" vertical="center"/>
    </xf>
    <xf numFmtId="43" fontId="15" fillId="3" borderId="18" xfId="1" applyFont="1" applyFill="1" applyBorder="1" applyAlignment="1" applyProtection="1">
      <alignment horizontal="center" vertical="center"/>
    </xf>
    <xf numFmtId="0" fontId="15" fillId="3" borderId="16" xfId="0" applyFont="1" applyFill="1" applyBorder="1" applyAlignment="1">
      <alignment horizontal="left" vertical="center"/>
    </xf>
    <xf numFmtId="0" fontId="15" fillId="3" borderId="17" xfId="0" applyFont="1" applyFill="1" applyBorder="1" applyAlignment="1">
      <alignment horizontal="left" vertical="center"/>
    </xf>
    <xf numFmtId="0" fontId="15" fillId="3" borderId="18" xfId="0" applyFont="1" applyFill="1" applyBorder="1" applyAlignment="1">
      <alignment horizontal="left" vertical="center"/>
    </xf>
    <xf numFmtId="10" fontId="16" fillId="0" borderId="20" xfId="2" applyNumberFormat="1" applyFont="1" applyBorder="1" applyAlignment="1" applyProtection="1">
      <alignment horizontal="center" vertical="center"/>
    </xf>
    <xf numFmtId="10" fontId="16" fillId="0" borderId="19" xfId="2" applyNumberFormat="1" applyFont="1" applyBorder="1" applyAlignment="1" applyProtection="1">
      <alignment horizontal="center" vertical="center"/>
    </xf>
    <xf numFmtId="10" fontId="16" fillId="0" borderId="35" xfId="2" applyNumberFormat="1" applyFont="1" applyBorder="1" applyAlignment="1" applyProtection="1">
      <alignment horizontal="center" vertical="center"/>
    </xf>
    <xf numFmtId="10" fontId="16" fillId="0" borderId="39" xfId="2" applyNumberFormat="1" applyFont="1" applyBorder="1" applyAlignment="1" applyProtection="1">
      <alignment horizontal="center" vertical="center"/>
    </xf>
    <xf numFmtId="10" fontId="16" fillId="0" borderId="0" xfId="2" applyNumberFormat="1" applyFont="1" applyBorder="1" applyAlignment="1" applyProtection="1">
      <alignment horizontal="center" vertical="center"/>
    </xf>
    <xf numFmtId="10" fontId="16" fillId="0" borderId="40" xfId="2" applyNumberFormat="1" applyFont="1" applyBorder="1" applyAlignment="1" applyProtection="1">
      <alignment horizontal="center" vertical="center"/>
    </xf>
    <xf numFmtId="10" fontId="16" fillId="0" borderId="31" xfId="2" applyNumberFormat="1" applyFont="1" applyBorder="1" applyAlignment="1" applyProtection="1">
      <alignment horizontal="center" vertical="center"/>
    </xf>
    <xf numFmtId="10" fontId="16" fillId="0" borderId="30" xfId="2" applyNumberFormat="1" applyFont="1" applyBorder="1" applyAlignment="1" applyProtection="1">
      <alignment horizontal="center" vertical="center"/>
    </xf>
    <xf numFmtId="10" fontId="16" fillId="0" borderId="41" xfId="2" applyNumberFormat="1" applyFont="1" applyBorder="1" applyAlignment="1" applyProtection="1">
      <alignment horizontal="center" vertical="center"/>
    </xf>
    <xf numFmtId="0" fontId="15" fillId="4" borderId="26" xfId="0" applyFont="1" applyFill="1" applyBorder="1" applyAlignment="1">
      <alignment horizontal="right" vertical="center"/>
    </xf>
    <xf numFmtId="0" fontId="16" fillId="0" borderId="19" xfId="0" applyFont="1" applyBorder="1" applyAlignment="1">
      <alignment horizontal="center" vertical="center"/>
    </xf>
    <xf numFmtId="43" fontId="16" fillId="0" borderId="16" xfId="1" applyFont="1" applyBorder="1" applyAlignment="1" applyProtection="1">
      <alignment horizontal="center" vertical="center"/>
    </xf>
    <xf numFmtId="43" fontId="16" fillId="0" borderId="17" xfId="1" applyFont="1" applyBorder="1" applyAlignment="1" applyProtection="1">
      <alignment horizontal="center" vertical="center"/>
    </xf>
    <xf numFmtId="43" fontId="16" fillId="0" borderId="18" xfId="1" applyFont="1" applyBorder="1" applyAlignment="1" applyProtection="1">
      <alignment horizontal="center" vertical="center"/>
    </xf>
    <xf numFmtId="0" fontId="15" fillId="2" borderId="26" xfId="0" applyFont="1" applyFill="1" applyBorder="1" applyAlignment="1">
      <alignment horizontal="right" vertical="center"/>
    </xf>
    <xf numFmtId="43" fontId="15" fillId="0" borderId="16" xfId="1" applyFont="1" applyBorder="1" applyAlignment="1" applyProtection="1">
      <alignment horizontal="center" vertical="center"/>
    </xf>
    <xf numFmtId="43" fontId="15" fillId="0" borderId="17" xfId="1" applyFont="1" applyBorder="1" applyAlignment="1" applyProtection="1">
      <alignment horizontal="center" vertical="center"/>
    </xf>
    <xf numFmtId="43" fontId="15" fillId="0" borderId="18" xfId="1" applyFont="1" applyBorder="1" applyAlignment="1" applyProtection="1">
      <alignment horizontal="center" vertical="center"/>
    </xf>
    <xf numFmtId="0" fontId="14" fillId="3" borderId="26" xfId="0" applyFont="1" applyFill="1" applyBorder="1" applyAlignment="1">
      <alignment horizontal="left" vertical="center"/>
    </xf>
    <xf numFmtId="0" fontId="23" fillId="12" borderId="36" xfId="0" applyFont="1" applyFill="1" applyBorder="1" applyAlignment="1">
      <alignment horizontal="center" vertical="center" wrapText="1"/>
    </xf>
    <xf numFmtId="0" fontId="23" fillId="12" borderId="38" xfId="0" applyFont="1" applyFill="1" applyBorder="1" applyAlignment="1">
      <alignment horizontal="center" vertical="center" wrapText="1"/>
    </xf>
    <xf numFmtId="0" fontId="23" fillId="12" borderId="16" xfId="0" applyFont="1" applyFill="1" applyBorder="1" applyAlignment="1">
      <alignment horizontal="center" vertical="center" wrapText="1"/>
    </xf>
    <xf numFmtId="0" fontId="23" fillId="12" borderId="18" xfId="0" applyFont="1" applyFill="1" applyBorder="1" applyAlignment="1">
      <alignment horizontal="center" vertical="center" wrapText="1"/>
    </xf>
    <xf numFmtId="0" fontId="23" fillId="12" borderId="17" xfId="0" applyFont="1" applyFill="1" applyBorder="1" applyAlignment="1">
      <alignment horizontal="center" vertical="center" wrapText="1"/>
    </xf>
    <xf numFmtId="43" fontId="23" fillId="12" borderId="16" xfId="0" applyNumberFormat="1" applyFont="1" applyFill="1" applyBorder="1" applyAlignment="1">
      <alignment horizontal="center" vertical="center" wrapText="1"/>
    </xf>
    <xf numFmtId="43" fontId="23" fillId="12" borderId="18" xfId="0" applyNumberFormat="1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</cellXfs>
  <cellStyles count="9">
    <cellStyle name="Moeda 2" xfId="3" xr:uid="{00000000-0005-0000-0000-000000000000}"/>
    <cellStyle name="Normal" xfId="0" builtinId="0"/>
    <cellStyle name="Normal 2" xfId="4" xr:uid="{00000000-0005-0000-0000-000002000000}"/>
    <cellStyle name="Normal 3" xfId="7" xr:uid="{00000000-0005-0000-0000-000003000000}"/>
    <cellStyle name="Normal 4" xfId="8" xr:uid="{00000000-0005-0000-0000-000004000000}"/>
    <cellStyle name="Porcentagem" xfId="2" builtinId="5"/>
    <cellStyle name="Porcentagem 2" xfId="5" xr:uid="{00000000-0005-0000-0000-000006000000}"/>
    <cellStyle name="Vírgula" xfId="1" builtinId="3"/>
    <cellStyle name="Vírgula 2" xfId="6" xr:uid="{00000000-0005-0000-0000-000008000000}"/>
  </cellStyles>
  <dxfs count="20">
    <dxf>
      <fill>
        <patternFill>
          <bgColor rgb="FFFFFF0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font>
        <b/>
        <i val="0"/>
        <color theme="4" tint="-0.24994659260841701"/>
      </font>
      <fill>
        <patternFill>
          <bgColor theme="0"/>
        </patternFill>
      </fill>
    </dxf>
    <dxf>
      <numFmt numFmtId="1" formatCode="0"/>
    </dxf>
    <dxf>
      <numFmt numFmtId="1" formatCode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4" formatCode="0.00%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E5F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usto por Fun&#231;&#227;o'!A1"/><Relationship Id="rId7" Type="http://schemas.openxmlformats.org/officeDocument/2006/relationships/image" Target="../media/image1.png"/><Relationship Id="rId2" Type="http://schemas.openxmlformats.org/officeDocument/2006/relationships/hyperlink" Target="#'Relat&#243;rio Custo'!A1"/><Relationship Id="rId1" Type="http://schemas.openxmlformats.org/officeDocument/2006/relationships/hyperlink" Target="#'Indicadores Financeiros'!A1"/><Relationship Id="rId6" Type="http://schemas.openxmlformats.org/officeDocument/2006/relationships/hyperlink" Target="#'Dados Cadastrais'!A1"/><Relationship Id="rId5" Type="http://schemas.openxmlformats.org/officeDocument/2006/relationships/hyperlink" Target="#'Custo  Resumido'!A1"/><Relationship Id="rId4" Type="http://schemas.openxmlformats.org/officeDocument/2006/relationships/hyperlink" Target="#'Custo  Resumido por loc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571501</xdr:colOff>
      <xdr:row>10</xdr:row>
      <xdr:rowOff>104775</xdr:rowOff>
    </xdr:from>
    <xdr:to>
      <xdr:col>4</xdr:col>
      <xdr:colOff>247651</xdr:colOff>
      <xdr:row>12</xdr:row>
      <xdr:rowOff>187158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BFA57B-19B1-4F19-9D53-1E9087BCC125}"/>
            </a:ext>
          </a:extLst>
        </xdr:cNvPr>
        <xdr:cNvSpPr/>
      </xdr:nvSpPr>
      <xdr:spPr>
        <a:xfrm>
          <a:off x="914401" y="2190750"/>
          <a:ext cx="1104900" cy="463383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900" b="1"/>
            <a:t>Indicadores financeiros</a:t>
          </a:r>
        </a:p>
      </xdr:txBody>
    </xdr:sp>
    <xdr:clientData/>
  </xdr:twoCellAnchor>
  <xdr:twoCellAnchor>
    <xdr:from>
      <xdr:col>3</xdr:col>
      <xdr:colOff>447676</xdr:colOff>
      <xdr:row>7</xdr:row>
      <xdr:rowOff>9525</xdr:rowOff>
    </xdr:from>
    <xdr:to>
      <xdr:col>5</xdr:col>
      <xdr:colOff>333376</xdr:colOff>
      <xdr:row>9</xdr:row>
      <xdr:rowOff>76200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064ADD-CE30-44F3-8258-B438C00427EA}"/>
            </a:ext>
          </a:extLst>
        </xdr:cNvPr>
        <xdr:cNvSpPr/>
      </xdr:nvSpPr>
      <xdr:spPr>
        <a:xfrm>
          <a:off x="1609726" y="1524000"/>
          <a:ext cx="1104900" cy="447675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Relatório custo</a:t>
          </a:r>
          <a:endParaRPr lang="pt-BR" sz="600">
            <a:effectLst/>
          </a:endParaRPr>
        </a:p>
      </xdr:txBody>
    </xdr:sp>
    <xdr:clientData/>
  </xdr:twoCellAnchor>
  <xdr:twoCellAnchor>
    <xdr:from>
      <xdr:col>6</xdr:col>
      <xdr:colOff>419101</xdr:colOff>
      <xdr:row>10</xdr:row>
      <xdr:rowOff>114300</xdr:rowOff>
    </xdr:from>
    <xdr:to>
      <xdr:col>8</xdr:col>
      <xdr:colOff>304801</xdr:colOff>
      <xdr:row>12</xdr:row>
      <xdr:rowOff>180975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46D9AD-8E59-4B5A-9DAE-804083F24144}"/>
            </a:ext>
          </a:extLst>
        </xdr:cNvPr>
        <xdr:cNvSpPr/>
      </xdr:nvSpPr>
      <xdr:spPr>
        <a:xfrm>
          <a:off x="3409951" y="2200275"/>
          <a:ext cx="1104900" cy="447675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Custo por função</a:t>
          </a:r>
        </a:p>
      </xdr:txBody>
    </xdr:sp>
    <xdr:clientData/>
  </xdr:twoCellAnchor>
  <xdr:twoCellAnchor>
    <xdr:from>
      <xdr:col>5</xdr:col>
      <xdr:colOff>457201</xdr:colOff>
      <xdr:row>6</xdr:row>
      <xdr:rowOff>171450</xdr:rowOff>
    </xdr:from>
    <xdr:to>
      <xdr:col>7</xdr:col>
      <xdr:colOff>342901</xdr:colOff>
      <xdr:row>9</xdr:row>
      <xdr:rowOff>71187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486E104-9736-49AE-A4F5-C4218A621784}"/>
            </a:ext>
          </a:extLst>
        </xdr:cNvPr>
        <xdr:cNvSpPr/>
      </xdr:nvSpPr>
      <xdr:spPr>
        <a:xfrm>
          <a:off x="2838451" y="1495425"/>
          <a:ext cx="1104900" cy="471237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Custo resumido por local</a:t>
          </a:r>
          <a:endParaRPr lang="pt-BR" sz="700">
            <a:effectLst/>
          </a:endParaRPr>
        </a:p>
      </xdr:txBody>
    </xdr:sp>
    <xdr:clientData/>
  </xdr:twoCellAnchor>
  <xdr:twoCellAnchor>
    <xdr:from>
      <xdr:col>4</xdr:col>
      <xdr:colOff>390526</xdr:colOff>
      <xdr:row>10</xdr:row>
      <xdr:rowOff>114300</xdr:rowOff>
    </xdr:from>
    <xdr:to>
      <xdr:col>6</xdr:col>
      <xdr:colOff>276226</xdr:colOff>
      <xdr:row>12</xdr:row>
      <xdr:rowOff>180975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3C3142A-149D-4232-8618-5933A182509E}"/>
            </a:ext>
          </a:extLst>
        </xdr:cNvPr>
        <xdr:cNvSpPr/>
      </xdr:nvSpPr>
      <xdr:spPr>
        <a:xfrm>
          <a:off x="2162176" y="2200275"/>
          <a:ext cx="1104900" cy="447675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Custo resumido</a:t>
          </a:r>
        </a:p>
      </xdr:txBody>
    </xdr:sp>
    <xdr:clientData/>
  </xdr:twoCellAnchor>
  <xdr:twoCellAnchor>
    <xdr:from>
      <xdr:col>2</xdr:col>
      <xdr:colOff>19051</xdr:colOff>
      <xdr:row>7</xdr:row>
      <xdr:rowOff>0</xdr:rowOff>
    </xdr:from>
    <xdr:to>
      <xdr:col>3</xdr:col>
      <xdr:colOff>304801</xdr:colOff>
      <xdr:row>9</xdr:row>
      <xdr:rowOff>74529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2AE93B-E2FF-46CA-9E65-246554290E22}"/>
            </a:ext>
          </a:extLst>
        </xdr:cNvPr>
        <xdr:cNvSpPr/>
      </xdr:nvSpPr>
      <xdr:spPr>
        <a:xfrm>
          <a:off x="361951" y="1514475"/>
          <a:ext cx="1104900" cy="455529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/>
            <a:t>Dados cadastrais</a:t>
          </a:r>
        </a:p>
      </xdr:txBody>
    </xdr:sp>
    <xdr:clientData/>
  </xdr:twoCellAnchor>
  <xdr:twoCellAnchor>
    <xdr:from>
      <xdr:col>3</xdr:col>
      <xdr:colOff>58588</xdr:colOff>
      <xdr:row>1</xdr:row>
      <xdr:rowOff>98426</xdr:rowOff>
    </xdr:from>
    <xdr:to>
      <xdr:col>9</xdr:col>
      <xdr:colOff>514350</xdr:colOff>
      <xdr:row>4</xdr:row>
      <xdr:rowOff>28575</xdr:rowOff>
    </xdr:to>
    <xdr:sp macro="" textlink="">
      <xdr:nvSpPr>
        <xdr:cNvPr id="8" name="Retângulo: Cantos Diagonais Recortados 6">
          <a:extLst>
            <a:ext uri="{FF2B5EF4-FFF2-40B4-BE49-F238E27FC236}">
              <a16:creationId xmlns:a16="http://schemas.microsoft.com/office/drawing/2014/main" id="{A7EBE05E-B874-4C1C-8E51-516CB00DF217}"/>
            </a:ext>
          </a:extLst>
        </xdr:cNvPr>
        <xdr:cNvSpPr>
          <a:spLocks/>
        </xdr:cNvSpPr>
      </xdr:nvSpPr>
      <xdr:spPr bwMode="auto">
        <a:xfrm>
          <a:off x="1220638" y="212726"/>
          <a:ext cx="4113362" cy="711199"/>
        </a:xfrm>
        <a:custGeom>
          <a:avLst/>
          <a:gdLst>
            <a:gd name="T0" fmla="*/ 0 w 5214902"/>
            <a:gd name="T1" fmla="*/ 0 h 1177925"/>
            <a:gd name="T2" fmla="*/ 5018577 w 5214902"/>
            <a:gd name="T3" fmla="*/ 0 h 1177925"/>
            <a:gd name="T4" fmla="*/ 5214902 w 5214902"/>
            <a:gd name="T5" fmla="*/ 196325 h 1177925"/>
            <a:gd name="T6" fmla="*/ 5214902 w 5214902"/>
            <a:gd name="T7" fmla="*/ 1177925 h 1177925"/>
            <a:gd name="T8" fmla="*/ 5214902 w 5214902"/>
            <a:gd name="T9" fmla="*/ 1177925 h 1177925"/>
            <a:gd name="T10" fmla="*/ 196325 w 5214902"/>
            <a:gd name="T11" fmla="*/ 1177925 h 1177925"/>
            <a:gd name="T12" fmla="*/ 0 w 5214902"/>
            <a:gd name="T13" fmla="*/ 981600 h 1177925"/>
            <a:gd name="T14" fmla="*/ 0 w 5214902"/>
            <a:gd name="T15" fmla="*/ 0 h 1177925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5214902"/>
            <a:gd name="T25" fmla="*/ 0 h 1177925"/>
            <a:gd name="T26" fmla="*/ 5214902 w 5214902"/>
            <a:gd name="T27" fmla="*/ 1177925 h 1177925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5214902" h="1177925">
              <a:moveTo>
                <a:pt x="0" y="0"/>
              </a:moveTo>
              <a:lnTo>
                <a:pt x="5018577" y="0"/>
              </a:lnTo>
              <a:lnTo>
                <a:pt x="5214902" y="196325"/>
              </a:lnTo>
              <a:lnTo>
                <a:pt x="5214902" y="1177925"/>
              </a:lnTo>
              <a:lnTo>
                <a:pt x="196325" y="1177925"/>
              </a:lnTo>
              <a:lnTo>
                <a:pt x="0" y="981600"/>
              </a:lnTo>
              <a:lnTo>
                <a:pt x="0" y="0"/>
              </a:lnTo>
              <a:close/>
            </a:path>
          </a:pathLst>
        </a:custGeom>
        <a:solidFill>
          <a:srgbClr val="43494E"/>
        </a:solidFill>
        <a:ln>
          <a:noFill/>
        </a:ln>
      </xdr:spPr>
      <xdr:txBody>
        <a:bodyPr rot="0" vert="horz" wrap="square" lIns="91440" tIns="45720" rIns="91440" bIns="45720" anchor="ctr" anchorCtr="0" upright="1">
          <a:noAutofit/>
        </a:bodyPr>
        <a:lstStyle/>
        <a:p>
          <a:pPr>
            <a:lnSpc>
              <a:spcPct val="107000"/>
            </a:lnSpc>
            <a:spcAft>
              <a:spcPts val="800"/>
            </a:spcAft>
          </a:pPr>
          <a:r>
            <a:rPr lang="pt-BR" sz="1400" b="1">
              <a:solidFill>
                <a:srgbClr val="FFFF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TRIBUNAL DE JUSTIÇA DE SÃO PAULO</a:t>
          </a:r>
          <a:endParaRPr lang="pt-BR" sz="1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ct val="107000"/>
            </a:lnSpc>
            <a:spcAft>
              <a:spcPts val="800"/>
            </a:spcAft>
          </a:pPr>
          <a:r>
            <a:rPr lang="pt-BR" sz="1400">
              <a:solidFill>
                <a:srgbClr val="FFFFF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Secretaria de Administração e Abastecimento</a:t>
          </a:r>
          <a:endParaRPr lang="pt-BR" sz="10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114299</xdr:colOff>
      <xdr:row>1</xdr:row>
      <xdr:rowOff>95251</xdr:rowOff>
    </xdr:from>
    <xdr:to>
      <xdr:col>3</xdr:col>
      <xdr:colOff>57150</xdr:colOff>
      <xdr:row>4</xdr:row>
      <xdr:rowOff>19051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EF20F0BC-7911-44B8-9FE4-B9D13A9B8C91}"/>
            </a:ext>
          </a:extLst>
        </xdr:cNvPr>
        <xdr:cNvGrpSpPr>
          <a:grpSpLocks/>
        </xdr:cNvGrpSpPr>
      </xdr:nvGrpSpPr>
      <xdr:grpSpPr bwMode="auto">
        <a:xfrm>
          <a:off x="247649" y="209551"/>
          <a:ext cx="971551" cy="704850"/>
          <a:chOff x="0" y="0"/>
          <a:chExt cx="11779" cy="11779"/>
        </a:xfrm>
      </xdr:grpSpPr>
      <xdr:sp macro="" textlink="">
        <xdr:nvSpPr>
          <xdr:cNvPr id="10" name="Retângulo: Único Canto Recortado 5">
            <a:extLst>
              <a:ext uri="{FF2B5EF4-FFF2-40B4-BE49-F238E27FC236}">
                <a16:creationId xmlns:a16="http://schemas.microsoft.com/office/drawing/2014/main" id="{C6727678-2DCF-C6B8-C9A2-A45600D41379}"/>
              </a:ext>
            </a:extLst>
          </xdr:cNvPr>
          <xdr:cNvSpPr>
            <a:spLocks/>
          </xdr:cNvSpPr>
        </xdr:nvSpPr>
        <xdr:spPr bwMode="auto">
          <a:xfrm rot="5400000">
            <a:off x="0" y="0"/>
            <a:ext cx="11779" cy="11779"/>
          </a:xfrm>
          <a:custGeom>
            <a:avLst/>
            <a:gdLst>
              <a:gd name="T0" fmla="*/ 0 w 1177925"/>
              <a:gd name="T1" fmla="*/ 0 h 1177925"/>
              <a:gd name="T2" fmla="*/ 981600 w 1177925"/>
              <a:gd name="T3" fmla="*/ 0 h 1177925"/>
              <a:gd name="T4" fmla="*/ 1177925 w 1177925"/>
              <a:gd name="T5" fmla="*/ 196325 h 1177925"/>
              <a:gd name="T6" fmla="*/ 1177925 w 1177925"/>
              <a:gd name="T7" fmla="*/ 1177925 h 1177925"/>
              <a:gd name="T8" fmla="*/ 0 w 1177925"/>
              <a:gd name="T9" fmla="*/ 1177925 h 1177925"/>
              <a:gd name="T10" fmla="*/ 0 w 1177925"/>
              <a:gd name="T11" fmla="*/ 0 h 117792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177925"/>
              <a:gd name="T19" fmla="*/ 0 h 1177925"/>
              <a:gd name="T20" fmla="*/ 1177925 w 1177925"/>
              <a:gd name="T21" fmla="*/ 1177925 h 117792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177925" h="1177925">
                <a:moveTo>
                  <a:pt x="0" y="0"/>
                </a:moveTo>
                <a:lnTo>
                  <a:pt x="981600" y="0"/>
                </a:lnTo>
                <a:lnTo>
                  <a:pt x="1177925" y="196325"/>
                </a:lnTo>
                <a:lnTo>
                  <a:pt x="1177925" y="1177925"/>
                </a:lnTo>
                <a:lnTo>
                  <a:pt x="0" y="1177925"/>
                </a:lnTo>
                <a:lnTo>
                  <a:pt x="0" y="0"/>
                </a:lnTo>
                <a:close/>
              </a:path>
            </a:pathLst>
          </a:custGeom>
          <a:solidFill>
            <a:srgbClr val="DA5914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07000"/>
              </a:lnSpc>
              <a:spcAft>
                <a:spcPts val="800"/>
              </a:spcAft>
            </a:pPr>
            <a:r>
              <a:rPr lang="pt-BR" sz="1800" b="1">
                <a:effectLst/>
                <a:latin typeface="Montserrat" panose="020F0502020204030204" pitchFamily="2" charset="0"/>
                <a:ea typeface="Calibri" panose="020F0502020204030204" pitchFamily="34" charset="0"/>
                <a:cs typeface="Times New Roman" panose="02020603050405020304" pitchFamily="18" charset="0"/>
              </a:rPr>
              <a:t> 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tângulo: Único Canto Recortado 5">
            <a:extLst>
              <a:ext uri="{FF2B5EF4-FFF2-40B4-BE49-F238E27FC236}">
                <a16:creationId xmlns:a16="http://schemas.microsoft.com/office/drawing/2014/main" id="{5BC3DA0F-CFCB-407A-BF8F-DD65F1566794}"/>
              </a:ext>
            </a:extLst>
          </xdr:cNvPr>
          <xdr:cNvSpPr>
            <a:spLocks/>
          </xdr:cNvSpPr>
        </xdr:nvSpPr>
        <xdr:spPr bwMode="auto">
          <a:xfrm>
            <a:off x="87" y="2549"/>
            <a:ext cx="11367" cy="6594"/>
          </a:xfrm>
          <a:custGeom>
            <a:avLst/>
            <a:gdLst>
              <a:gd name="T0" fmla="*/ 0 w 1136673"/>
              <a:gd name="T1" fmla="*/ 0 h 659423"/>
              <a:gd name="T2" fmla="*/ 1026767 w 1136673"/>
              <a:gd name="T3" fmla="*/ 0 h 659423"/>
              <a:gd name="T4" fmla="*/ 1136673 w 1136673"/>
              <a:gd name="T5" fmla="*/ 109906 h 659423"/>
              <a:gd name="T6" fmla="*/ 1136673 w 1136673"/>
              <a:gd name="T7" fmla="*/ 659423 h 659423"/>
              <a:gd name="T8" fmla="*/ 0 w 1136673"/>
              <a:gd name="T9" fmla="*/ 659423 h 659423"/>
              <a:gd name="T10" fmla="*/ 0 w 1136673"/>
              <a:gd name="T11" fmla="*/ 0 h 65942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136673"/>
              <a:gd name="T19" fmla="*/ 0 h 659423"/>
              <a:gd name="T20" fmla="*/ 1136673 w 1136673"/>
              <a:gd name="T21" fmla="*/ 659423 h 65942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136673" h="659423">
                <a:moveTo>
                  <a:pt x="0" y="0"/>
                </a:moveTo>
                <a:lnTo>
                  <a:pt x="1026767" y="0"/>
                </a:lnTo>
                <a:lnTo>
                  <a:pt x="1136673" y="109906"/>
                </a:lnTo>
                <a:lnTo>
                  <a:pt x="1136673" y="659423"/>
                </a:lnTo>
                <a:lnTo>
                  <a:pt x="0" y="659423"/>
                </a:lnTo>
                <a:lnTo>
                  <a:pt x="0" y="0"/>
                </a:lnTo>
                <a:close/>
              </a:path>
            </a:pathLst>
          </a:custGeom>
          <a:solidFill>
            <a:srgbClr val="DA5914"/>
          </a:solidFill>
          <a:ln>
            <a:noFill/>
          </a:ln>
        </xdr:spPr>
        <xdr:txBody>
          <a:bodyPr rot="0" vert="horz" wrap="square" lIns="91440" tIns="45720" rIns="91440" bIns="45720" anchor="ctr" anchorCtr="0" upright="1">
            <a:noAutofit/>
          </a:bodyPr>
          <a:lstStyle/>
          <a:p>
            <a:pPr algn="ctr">
              <a:lnSpc>
                <a:spcPct val="107000"/>
              </a:lnSpc>
              <a:spcAft>
                <a:spcPts val="800"/>
              </a:spcAft>
            </a:pPr>
            <a:r>
              <a:rPr lang="pt-BR" sz="1800" b="1">
                <a:effectLst/>
                <a:latin typeface="Montserrat" panose="020F0502020204030204" pitchFamily="2" charset="0"/>
                <a:ea typeface="Calibri" panose="020F0502020204030204" pitchFamily="34" charset="0"/>
                <a:cs typeface="Times New Roman" panose="02020603050405020304" pitchFamily="18" charset="0"/>
              </a:rPr>
              <a:t>SAAB</a:t>
            </a:r>
            <a:endParaRPr lang="pt-BR" sz="10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3</xdr:col>
      <xdr:colOff>200025</xdr:colOff>
      <xdr:row>4</xdr:row>
      <xdr:rowOff>24251</xdr:rowOff>
    </xdr:from>
    <xdr:to>
      <xdr:col>9</xdr:col>
      <xdr:colOff>514350</xdr:colOff>
      <xdr:row>5</xdr:row>
      <xdr:rowOff>180975</xdr:rowOff>
    </xdr:to>
    <xdr:sp macro="" textlink="">
      <xdr:nvSpPr>
        <xdr:cNvPr id="12" name="Retângulo: Cantos Superiores Recortados 9">
          <a:extLst>
            <a:ext uri="{FF2B5EF4-FFF2-40B4-BE49-F238E27FC236}">
              <a16:creationId xmlns:a16="http://schemas.microsoft.com/office/drawing/2014/main" id="{4105EF61-56E5-4740-9806-7E4C6BC71DF0}"/>
            </a:ext>
          </a:extLst>
        </xdr:cNvPr>
        <xdr:cNvSpPr>
          <a:spLocks/>
        </xdr:cNvSpPr>
      </xdr:nvSpPr>
      <xdr:spPr bwMode="auto">
        <a:xfrm flipV="1">
          <a:off x="1362075" y="919601"/>
          <a:ext cx="3971925" cy="347224"/>
        </a:xfrm>
        <a:custGeom>
          <a:avLst/>
          <a:gdLst>
            <a:gd name="T0" fmla="*/ 2179 w 5034845"/>
            <a:gd name="T1" fmla="*/ 0 h 1307465"/>
            <a:gd name="T2" fmla="*/ 48169 w 5034845"/>
            <a:gd name="T3" fmla="*/ 0 h 1307465"/>
            <a:gd name="T4" fmla="*/ 50348 w 5034845"/>
            <a:gd name="T5" fmla="*/ 2179 h 1307465"/>
            <a:gd name="T6" fmla="*/ 50348 w 5034845"/>
            <a:gd name="T7" fmla="*/ 13074 h 1307465"/>
            <a:gd name="T8" fmla="*/ 50348 w 5034845"/>
            <a:gd name="T9" fmla="*/ 13074 h 1307465"/>
            <a:gd name="T10" fmla="*/ 0 w 5034845"/>
            <a:gd name="T11" fmla="*/ 13074 h 1307465"/>
            <a:gd name="T12" fmla="*/ 0 w 5034845"/>
            <a:gd name="T13" fmla="*/ 13074 h 1307465"/>
            <a:gd name="T14" fmla="*/ 0 w 5034845"/>
            <a:gd name="T15" fmla="*/ 2179 h 1307465"/>
            <a:gd name="T16" fmla="*/ 2179 w 5034845"/>
            <a:gd name="T17" fmla="*/ 0 h 1307465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5034845"/>
            <a:gd name="T28" fmla="*/ 0 h 1307465"/>
            <a:gd name="T29" fmla="*/ 5034845 w 5034845"/>
            <a:gd name="T30" fmla="*/ 1307465 h 1307465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5034845" h="1307465">
              <a:moveTo>
                <a:pt x="217915" y="0"/>
              </a:moveTo>
              <a:lnTo>
                <a:pt x="4816930" y="0"/>
              </a:lnTo>
              <a:lnTo>
                <a:pt x="5034845" y="217915"/>
              </a:lnTo>
              <a:lnTo>
                <a:pt x="5034845" y="1307465"/>
              </a:lnTo>
              <a:lnTo>
                <a:pt x="0" y="1307465"/>
              </a:lnTo>
              <a:lnTo>
                <a:pt x="0" y="217915"/>
              </a:lnTo>
              <a:lnTo>
                <a:pt x="217915" y="0"/>
              </a:lnTo>
              <a:close/>
            </a:path>
          </a:pathLst>
        </a:custGeom>
        <a:solidFill>
          <a:schemeClr val="bg1">
            <a:lumMod val="85000"/>
          </a:schemeClr>
        </a:solidFill>
        <a:ln>
          <a:noFill/>
        </a:ln>
      </xdr:spPr>
      <xdr:txBody>
        <a:bodyPr rot="0" vert="horz" wrap="square" lIns="91440" tIns="45720" rIns="91440" bIns="45720" anchor="ctr" anchorCtr="0" upright="1">
          <a:noAutofit/>
        </a:bodyPr>
        <a:lstStyle/>
        <a:p>
          <a:pPr>
            <a:lnSpc>
              <a:spcPct val="115000"/>
            </a:lnSpc>
            <a:spcBef>
              <a:spcPts val="1200"/>
            </a:spcBef>
            <a:spcAft>
              <a:spcPts val="1200"/>
            </a:spcAft>
            <a:tabLst>
              <a:tab pos="3060700" algn="l"/>
            </a:tabLst>
          </a:pPr>
          <a:r>
            <a:rPr lang="pt-BR" sz="1600" b="1">
              <a:solidFill>
                <a:srgbClr val="262626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 </a:t>
          </a:r>
          <a:endParaRPr lang="pt-BR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</a:p>
      </xdr:txBody>
    </xdr:sp>
    <xdr:clientData/>
  </xdr:twoCellAnchor>
  <xdr:twoCellAnchor>
    <xdr:from>
      <xdr:col>3</xdr:col>
      <xdr:colOff>448270</xdr:colOff>
      <xdr:row>4</xdr:row>
      <xdr:rowOff>57150</xdr:rowOff>
    </xdr:from>
    <xdr:to>
      <xdr:col>9</xdr:col>
      <xdr:colOff>409575</xdr:colOff>
      <xdr:row>5</xdr:row>
      <xdr:rowOff>133349</xdr:rowOff>
    </xdr:to>
    <xdr:sp macro="" textlink="">
      <xdr:nvSpPr>
        <xdr:cNvPr id="13" name="Retângulo: Cantos Superiores Recortados 9">
          <a:extLst>
            <a:ext uri="{FF2B5EF4-FFF2-40B4-BE49-F238E27FC236}">
              <a16:creationId xmlns:a16="http://schemas.microsoft.com/office/drawing/2014/main" id="{38D67B19-F4CA-47F9-9687-C8338029CDF2}"/>
            </a:ext>
          </a:extLst>
        </xdr:cNvPr>
        <xdr:cNvSpPr>
          <a:spLocks/>
        </xdr:cNvSpPr>
      </xdr:nvSpPr>
      <xdr:spPr bwMode="auto">
        <a:xfrm>
          <a:off x="1610320" y="952500"/>
          <a:ext cx="3618905" cy="266699"/>
        </a:xfrm>
        <a:custGeom>
          <a:avLst/>
          <a:gdLst>
            <a:gd name="T0" fmla="*/ 3033 w 4538134"/>
            <a:gd name="T1" fmla="*/ 0 h 1819910"/>
            <a:gd name="T2" fmla="*/ 42349 w 4538134"/>
            <a:gd name="T3" fmla="*/ 0 h 1819910"/>
            <a:gd name="T4" fmla="*/ 45382 w 4538134"/>
            <a:gd name="T5" fmla="*/ 3033 h 1819910"/>
            <a:gd name="T6" fmla="*/ 45382 w 4538134"/>
            <a:gd name="T7" fmla="*/ 18198 h 1819910"/>
            <a:gd name="T8" fmla="*/ 45382 w 4538134"/>
            <a:gd name="T9" fmla="*/ 18198 h 1819910"/>
            <a:gd name="T10" fmla="*/ 0 w 4538134"/>
            <a:gd name="T11" fmla="*/ 18198 h 1819910"/>
            <a:gd name="T12" fmla="*/ 0 w 4538134"/>
            <a:gd name="T13" fmla="*/ 18198 h 1819910"/>
            <a:gd name="T14" fmla="*/ 0 w 4538134"/>
            <a:gd name="T15" fmla="*/ 3033 h 1819910"/>
            <a:gd name="T16" fmla="*/ 3033 w 4538134"/>
            <a:gd name="T17" fmla="*/ 0 h 1819910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4538134"/>
            <a:gd name="T28" fmla="*/ 0 h 1819910"/>
            <a:gd name="T29" fmla="*/ 4538134 w 4538134"/>
            <a:gd name="T30" fmla="*/ 1819910 h 1819910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4538134" h="1819910">
              <a:moveTo>
                <a:pt x="303324" y="0"/>
              </a:moveTo>
              <a:lnTo>
                <a:pt x="4234810" y="0"/>
              </a:lnTo>
              <a:lnTo>
                <a:pt x="4538134" y="303324"/>
              </a:lnTo>
              <a:lnTo>
                <a:pt x="4538134" y="1819910"/>
              </a:lnTo>
              <a:lnTo>
                <a:pt x="0" y="1819910"/>
              </a:lnTo>
              <a:lnTo>
                <a:pt x="0" y="303324"/>
              </a:lnTo>
              <a:lnTo>
                <a:pt x="303324" y="0"/>
              </a:lnTo>
              <a:close/>
            </a:path>
          </a:pathLst>
        </a:custGeom>
        <a:solidFill>
          <a:schemeClr val="bg1">
            <a:lumMod val="85000"/>
          </a:schemeClr>
        </a:solidFill>
        <a:ln>
          <a:noFill/>
        </a:ln>
      </xdr:spPr>
      <xdr:txBody>
        <a:bodyPr rot="0" vert="horz" wrap="square" lIns="91440" tIns="45720" rIns="91440" bIns="45720" anchor="ctr" anchorCtr="0" upright="1">
          <a:noAutofit/>
        </a:bodyPr>
        <a:lstStyle/>
        <a:p>
          <a:pPr>
            <a:lnSpc>
              <a:spcPct val="107000"/>
            </a:lnSpc>
            <a:spcBef>
              <a:spcPts val="1200"/>
            </a:spcBef>
            <a:spcAft>
              <a:spcPts val="1200"/>
            </a:spcAft>
            <a:tabLst>
              <a:tab pos="3060700" algn="l"/>
            </a:tabLst>
          </a:pPr>
          <a:r>
            <a:rPr lang="pt-BR" sz="1400" b="1">
              <a:solidFill>
                <a:srgbClr val="262626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ESTUDO TÉCNICO DE COMPOSIÇÃO DE CUSTO </a:t>
          </a:r>
          <a:endParaRPr lang="pt-BR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4</xdr:col>
      <xdr:colOff>190500</xdr:colOff>
      <xdr:row>33</xdr:row>
      <xdr:rowOff>0</xdr:rowOff>
    </xdr:from>
    <xdr:to>
      <xdr:col>6</xdr:col>
      <xdr:colOff>207410</xdr:colOff>
      <xdr:row>37</xdr:row>
      <xdr:rowOff>104775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FE177EAB-ACC6-4B5C-95F7-FC15E461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753350"/>
          <a:ext cx="1236110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133350</xdr:colOff>
      <xdr:row>13</xdr:row>
      <xdr:rowOff>161924</xdr:rowOff>
    </xdr:from>
    <xdr:to>
      <xdr:col>9</xdr:col>
      <xdr:colOff>695324</xdr:colOff>
      <xdr:row>33</xdr:row>
      <xdr:rowOff>0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BA7AD03E-706B-4E54-A03C-4E18027D4BB0}"/>
            </a:ext>
          </a:extLst>
        </xdr:cNvPr>
        <xdr:cNvSpPr txBox="1"/>
      </xdr:nvSpPr>
      <xdr:spPr>
        <a:xfrm>
          <a:off x="266700" y="2819399"/>
          <a:ext cx="5248274" cy="6048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t-BR" sz="1100" b="1">
              <a:solidFill>
                <a:schemeClr val="dk1"/>
              </a:solidFill>
              <a:latin typeface="+mn-lt"/>
              <a:ea typeface="+mn-ea"/>
              <a:cs typeface="+mn-cs"/>
            </a:rPr>
            <a:t>Instruções e</a:t>
          </a:r>
          <a:r>
            <a:rPr lang="pt-BR" sz="11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observações para o preenchimento da planilha:</a:t>
          </a:r>
          <a:endParaRPr lang="pt-BR" sz="1100" b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1. Preencher somente as células da planilha (Indicadores Financeiros) destacadas em VERDE.</a:t>
          </a:r>
          <a:endParaRPr lang="pt-BR" sz="900"/>
        </a:p>
        <a:p>
          <a:pPr eaLnBrk="1" fontAlgn="auto" latinLnBrk="0" hangingPunct="1"/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2. Os campos referentes ao ISSQN – Imposto Sobre Serviços de Qualquer Natureza são editáveis e deverão ser preenchidos/confirmados sob responsabilidade da licitante validar e verificar a alíquota vigente em cada localidade.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3. </a:t>
          </a:r>
          <a:r>
            <a:rPr lang="pt-B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As planilhas Relatório Custo, Custo Resumido, Custo Resumido por Local, Custo por Função e Tabela de Códigos e Valores são calculadas automaticamente e não deverão ser alteradas. 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4.  Os percentuais de encargos sociais e trabalhistas, de contingenciamento e dos parâmetros de cálculo são fixos e não devem ser alterados.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5. Os valores deverão ser apresentados com duas casas decimais e arredondamento matemático no segundo dígito.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6. O percentual de BDI é calculado igualmente para todos os postos/serviços e de acordo com o ISS de cada município.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7. </a:t>
          </a:r>
          <a:r>
            <a:rPr lang="pt-BR"/>
            <a:t>Os valores de salário base e benefícios deverão estar de acordo com o normativo em vigor e com as cláusulas editalícias.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8. O valor do vale-transporte adotado no orçamento estimativo da contratação foi de R$ 5,49  (ida e volta R$ 10,98). Contudo, o valor do vale-transporte constante no estudo técnico de composição de custos foi utilizado apenas para estimativa do preço referencial. Deste modo, o lançamento dos valores dos vales-transportes é de responsabilidade da licitante, que deverá informar o valor de cada localidade, observada a realidade operacional da empresa e dos funcionários. 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9. Conforme o § 2º do Art.59 da Lei 14.133/202, caso a Comissão de Contratação entenda que seja necessário, é facultada a solicitação de qualquer esclarecimento, justificativa, comprovação ou complementação de informação, inclusive em relação a qualquer informação apresentada na planilha de composição de custos.</a:t>
          </a:r>
          <a:endParaRPr lang="pt-BR" sz="900"/>
        </a:p>
        <a:p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10. A licitante poderá inserir valores da despesa no campo outros (itens 10 e 11)</a:t>
          </a:r>
          <a:r>
            <a:rPr lang="pt-B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100">
              <a:solidFill>
                <a:schemeClr val="dk1"/>
              </a:solidFill>
              <a:latin typeface="+mn-lt"/>
              <a:ea typeface="+mn-ea"/>
              <a:cs typeface="+mn-cs"/>
            </a:rPr>
            <a:t>da tabela de benefícios da CCT, desde que sejam especificados.</a:t>
          </a:r>
          <a:endParaRPr lang="pt-BR" sz="900"/>
        </a:p>
        <a:p>
          <a:endParaRPr lang="pt-BR" sz="900">
            <a:effectLst/>
          </a:endParaRPr>
        </a:p>
        <a:p>
          <a:endParaRPr lang="pt-BR" sz="900">
            <a:latin typeface="+mn-lt"/>
          </a:endParaRPr>
        </a:p>
      </xdr:txBody>
    </xdr:sp>
    <xdr:clientData/>
  </xdr:twoCellAnchor>
  <xdr:twoCellAnchor>
    <xdr:from>
      <xdr:col>7</xdr:col>
      <xdr:colOff>457201</xdr:colOff>
      <xdr:row>6</xdr:row>
      <xdr:rowOff>180975</xdr:rowOff>
    </xdr:from>
    <xdr:to>
      <xdr:col>9</xdr:col>
      <xdr:colOff>342901</xdr:colOff>
      <xdr:row>9</xdr:row>
      <xdr:rowOff>80712</xdr:rowOff>
    </xdr:to>
    <xdr:sp macro="" textlink="">
      <xdr:nvSpPr>
        <xdr:cNvPr id="16" name="Retângulo: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DD0AED-16B7-47E4-8AC1-8D202C7F30AC}"/>
            </a:ext>
          </a:extLst>
        </xdr:cNvPr>
        <xdr:cNvSpPr/>
      </xdr:nvSpPr>
      <xdr:spPr>
        <a:xfrm>
          <a:off x="4057651" y="1504950"/>
          <a:ext cx="1104900" cy="471237"/>
        </a:xfrm>
        <a:prstGeom prst="roundRect">
          <a:avLst/>
        </a:prstGeom>
        <a:gradFill flip="none" rotWithShape="1">
          <a:gsLst>
            <a:gs pos="0">
              <a:schemeClr val="accent2">
                <a:lumMod val="67000"/>
              </a:schemeClr>
            </a:gs>
            <a:gs pos="48000">
              <a:schemeClr val="accent2">
                <a:lumMod val="97000"/>
                <a:lumOff val="3000"/>
              </a:schemeClr>
            </a:gs>
            <a:gs pos="100000">
              <a:schemeClr val="accent2">
                <a:lumMod val="60000"/>
                <a:lumOff val="40000"/>
              </a:schemeClr>
            </a:gs>
          </a:gsLst>
          <a:lin ang="16200000" scaled="1"/>
          <a:tileRect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9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Tabela de códigos e valores</a:t>
          </a:r>
          <a:endParaRPr lang="pt-BR" sz="600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57151</xdr:rowOff>
    </xdr:from>
    <xdr:to>
      <xdr:col>0</xdr:col>
      <xdr:colOff>717568</xdr:colOff>
      <xdr:row>0</xdr:row>
      <xdr:rowOff>266701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813F19-C082-46F7-8D81-4B35741A43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66676" y="57151"/>
          <a:ext cx="650892" cy="209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115470</xdr:colOff>
      <xdr:row>1</xdr:row>
      <xdr:rowOff>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CFD923-DA87-4280-8C4C-7B9FB77DE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0" y="0"/>
          <a:ext cx="591720" cy="1905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212</xdr:row>
      <xdr:rowOff>76199</xdr:rowOff>
    </xdr:from>
    <xdr:to>
      <xdr:col>9</xdr:col>
      <xdr:colOff>857249</xdr:colOff>
      <xdr:row>222</xdr:row>
      <xdr:rowOff>857250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EB359C68-5AAE-460B-B0C8-C4C166C6AC29}"/>
            </a:ext>
          </a:extLst>
        </xdr:cNvPr>
        <xdr:cNvSpPr txBox="1"/>
      </xdr:nvSpPr>
      <xdr:spPr>
        <a:xfrm>
          <a:off x="38100" y="35337749"/>
          <a:ext cx="8115299" cy="26860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pt-BR" sz="1000" b="1">
              <a:latin typeface="+mn-lt"/>
            </a:rPr>
            <a:t>Fontes de Referências - Funções de Limpeza: </a:t>
          </a:r>
        </a:p>
        <a:p>
          <a:pPr marL="0" indent="0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1. Prestação de Serviços de Limpeza, Asseio e Conservação Predial CADTERC - Volume 3 -  Versão 01 - Março/ 2024 - Data Base Janeiro 2024 - disponibilizado no Portal</a:t>
          </a:r>
          <a:r>
            <a:rPr lang="pt-BR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Compras. </a:t>
          </a:r>
          <a:endParaRPr lang="pt-BR" sz="10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2. Prestação de Serviços de Limpeza Hospitalar CADTERC - Volume 7 - Versão 01 - Março/ 2024 - Data Base Janeiro 2024 - disponibilizado no Portal de Compras. </a:t>
          </a:r>
        </a:p>
        <a:p>
          <a:pPr marL="0" indent="0" eaLnBrk="1" fontAlgn="auto" latinLnBrk="0" hangingPunct="1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3. Termo</a:t>
          </a:r>
          <a:r>
            <a:rPr lang="pt-BR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Aditivo a Convenção Coletiva de Trabalho </a:t>
          </a:r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entre o Sindicato das Empresas de Asseio e Conservação no Estado de São Paulo – SEAC/SP e o Sindicato dos Trabalhadores em Empresas de Prestação de Serviços de Asseio, Conservação e Limpeza Urbana de São Paulo</a:t>
          </a:r>
          <a:r>
            <a:rPr lang="pt-BR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,  com </a:t>
          </a:r>
          <a:r>
            <a:rPr lang="pt-BR" sz="1000"/>
            <a:t>a vigência de 01º de janeiro de 2025 a 31 de dezembro de 2025 e a data-base da categoria em 01º de janeiro</a:t>
          </a:r>
          <a:r>
            <a:rPr lang="pt-BR" sz="1000" baseline="0"/>
            <a:t> (</a:t>
          </a:r>
          <a:r>
            <a:rPr lang="pt-BR" sz="1000"/>
            <a:t>MR002821/2025). </a:t>
          </a:r>
          <a:endParaRPr lang="pt-BR" sz="10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t-BR" sz="1000">
            <a:latin typeface="+mn-lt"/>
          </a:endParaRPr>
        </a:p>
        <a:p>
          <a:r>
            <a:rPr lang="pt-BR" sz="1000" b="1">
              <a:solidFill>
                <a:schemeClr val="dk1"/>
              </a:solidFill>
              <a:latin typeface="+mn-lt"/>
              <a:ea typeface="+mn-ea"/>
              <a:cs typeface="+mn-cs"/>
            </a:rPr>
            <a:t>Fontes de Referências - Funções de Jardinagem: </a:t>
          </a:r>
          <a:endParaRPr lang="pt-BR" sz="1000">
            <a:latin typeface="+mn-lt"/>
          </a:endParaRPr>
        </a:p>
        <a:p>
          <a:pPr marL="0" indent="0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1. Prestação de Serviços de Manutenção e Conservação de Jardins CADTERC - Volume 18 -  Data-base Janeiro/2024 - versão 01</a:t>
          </a:r>
          <a:r>
            <a:rPr lang="pt-BR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-</a:t>
          </a:r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 Março/ 2024 - disponibilizado no</a:t>
          </a:r>
          <a:r>
            <a:rPr lang="pt-BR" sz="1000" baseline="0">
              <a:solidFill>
                <a:schemeClr val="dk1"/>
              </a:solidFill>
              <a:latin typeface="+mn-lt"/>
              <a:ea typeface="+mn-ea"/>
              <a:cs typeface="+mn-cs"/>
            </a:rPr>
            <a:t> Portal de Compras. </a:t>
          </a:r>
          <a:endParaRPr lang="pt-BR" sz="10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indent="0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2. Convenção Coletiva de Trabalho </a:t>
          </a:r>
          <a:r>
            <a:rPr lang="pt-BR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SP005233/2023</a:t>
          </a:r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 entre o SIEMACO - SP - Sindicato dos Trabalhadores das Empresas Prestadoras de Serviços de Asseio e Conservação e Limpeza Urbana de SP e o SINDVERDE - SP - Sindicato das Empresas de Manutenção e Execução de Áreas, com vigência em 01º de março de 2023 a 28 de fevereiro de 2025 e a data-base da categoria em 01º de março.</a:t>
          </a:r>
        </a:p>
        <a:p>
          <a:pPr marL="0" indent="0"/>
          <a:r>
            <a:rPr lang="pt-BR" sz="1000">
              <a:solidFill>
                <a:schemeClr val="dk1"/>
              </a:solidFill>
              <a:latin typeface="+mn-lt"/>
              <a:ea typeface="+mn-ea"/>
              <a:cs typeface="+mn-cs"/>
            </a:rPr>
            <a:t>3. Comunicado Conjunto Siemaco x Sindverde de 02 de Abril de 2025.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179918</xdr:colOff>
      <xdr:row>0</xdr:row>
      <xdr:rowOff>63501</xdr:rowOff>
    </xdr:from>
    <xdr:to>
      <xdr:col>2</xdr:col>
      <xdr:colOff>91066</xdr:colOff>
      <xdr:row>1</xdr:row>
      <xdr:rowOff>91017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DB173E-896E-45A7-9C3E-23EB0BDC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444501" y="63501"/>
          <a:ext cx="558848" cy="1799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47625</xdr:rowOff>
    </xdr:from>
    <xdr:to>
      <xdr:col>1</xdr:col>
      <xdr:colOff>152401</xdr:colOff>
      <xdr:row>0</xdr:row>
      <xdr:rowOff>225482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3732D5-73F0-4641-8CA8-E37F905A5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66676" y="47625"/>
          <a:ext cx="552450" cy="1778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9526</xdr:rowOff>
    </xdr:from>
    <xdr:to>
      <xdr:col>1</xdr:col>
      <xdr:colOff>95250</xdr:colOff>
      <xdr:row>3</xdr:row>
      <xdr:rowOff>3125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B4E3A-146A-4E49-BBB2-99BCCABF1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0" y="266701"/>
          <a:ext cx="561975" cy="1809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28576</xdr:rowOff>
    </xdr:from>
    <xdr:to>
      <xdr:col>0</xdr:col>
      <xdr:colOff>523875</xdr:colOff>
      <xdr:row>1</xdr:row>
      <xdr:rowOff>6734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40173D-10FB-4E40-9021-8BFB2A3C8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0" y="28576"/>
          <a:ext cx="523875" cy="1686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2</xdr:row>
      <xdr:rowOff>47626</xdr:rowOff>
    </xdr:from>
    <xdr:to>
      <xdr:col>0</xdr:col>
      <xdr:colOff>627799</xdr:colOff>
      <xdr:row>3</xdr:row>
      <xdr:rowOff>38101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371606-43D6-4EA4-8654-C837DBDD2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7" t="16880" r="7692" b="7811"/>
        <a:stretch/>
      </xdr:blipFill>
      <xdr:spPr>
        <a:xfrm>
          <a:off x="95251" y="295276"/>
          <a:ext cx="532548" cy="1714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3" displayName="Tabela3" ref="A1:E323" totalsRowCount="1">
  <autoFilter ref="A1:E322" xr:uid="{00000000-0009-0000-0100-000001000000}"/>
  <sortState xmlns:xlrd2="http://schemas.microsoft.com/office/spreadsheetml/2017/richdata2" ref="A293:E293">
    <sortCondition ref="B1:B322"/>
  </sortState>
  <tableColumns count="5">
    <tableColumn id="1" xr3:uid="{00000000-0010-0000-0000-000001000000}" name="RA" dataDxfId="19" totalsRowDxfId="18"/>
    <tableColumn id="4" xr3:uid="{00000000-0010-0000-0000-000004000000}" name="Município"/>
    <tableColumn id="5" xr3:uid="{00000000-0010-0000-0000-000005000000}" name="ISS" dataDxfId="17" dataCellStyle="Porcentagem"/>
    <tableColumn id="7" xr3:uid="{00000000-0010-0000-0000-000007000000}" name="BDI" dataDxfId="16" dataCellStyle="Porcentagem">
      <calculatedColumnFormula>ROUND((1+'Indicadores Financeiros'!$F$9)*(1+'Indicadores Financeiros'!$F$10)/(1-'Indicadores Financeiros'!$F$12-'Indicadores Financeiros'!$F$11-Tabela3[[#This Row],[ISS]])-1,4)</calculatedColumnFormula>
    </tableColumn>
    <tableColumn id="6" xr3:uid="{00000000-0010-0000-0000-000006000000}" name="Legislação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a1" displayName="Tabela1" ref="A1:H779" totalsRowShown="0" headerRowBorderDxfId="15">
  <autoFilter ref="A1:H779" xr:uid="{00000000-0009-0000-0100-000002000000}"/>
  <tableColumns count="8">
    <tableColumn id="1" xr3:uid="{00000000-0010-0000-0100-000001000000}" name="Código Imóvel" dataDxfId="14"/>
    <tableColumn id="2" xr3:uid="{00000000-0010-0000-0100-000002000000}" name="Código SGI" dataDxfId="13"/>
    <tableColumn id="3" xr3:uid="{00000000-0010-0000-0100-000003000000}" name="RAJ"/>
    <tableColumn id="4" xr3:uid="{00000000-0010-0000-0100-000004000000}" name="CJ"/>
    <tableColumn id="5" xr3:uid="{00000000-0010-0000-0100-000005000000}" name="Comarca"/>
    <tableColumn id="6" xr3:uid="{00000000-0010-0000-0100-000006000000}" name="Denominação do imóvel"/>
    <tableColumn id="7" xr3:uid="{00000000-0010-0000-0100-000007000000}" name="Característica do imóvel / espaço"/>
    <tableColumn id="8" xr3:uid="{00000000-0010-0000-0100-000008000000}" name="Uso principal do local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B1:N37"/>
  <sheetViews>
    <sheetView showGridLines="0" zoomScaleNormal="100" zoomScaleSheetLayoutView="100" workbookViewId="0">
      <selection activeCell="P21" sqref="P21"/>
    </sheetView>
  </sheetViews>
  <sheetFormatPr defaultRowHeight="15" x14ac:dyDescent="0.25"/>
  <cols>
    <col min="1" max="1" width="2" customWidth="1"/>
    <col min="2" max="2" width="3.140625" customWidth="1"/>
    <col min="3" max="3" width="12.28515625" customWidth="1"/>
    <col min="10" max="10" width="12.140625" customWidth="1"/>
    <col min="11" max="11" width="3.42578125" customWidth="1"/>
    <col min="12" max="13" width="9.140625" customWidth="1"/>
    <col min="14" max="14" width="16.42578125" customWidth="1"/>
    <col min="15" max="15" width="3" customWidth="1"/>
  </cols>
  <sheetData>
    <row r="1" spans="2:10" ht="9" customHeight="1" thickBot="1" x14ac:dyDescent="0.3"/>
    <row r="2" spans="2:10" x14ac:dyDescent="0.25">
      <c r="B2" s="297"/>
      <c r="C2" s="298"/>
      <c r="D2" s="298"/>
      <c r="E2" s="298"/>
      <c r="F2" s="298"/>
      <c r="G2" s="298"/>
      <c r="H2" s="298"/>
      <c r="I2" s="298"/>
      <c r="J2" s="299"/>
    </row>
    <row r="3" spans="2:10" ht="23.25" x14ac:dyDescent="0.25">
      <c r="B3" s="300"/>
      <c r="F3" s="301"/>
      <c r="J3" s="302"/>
    </row>
    <row r="4" spans="2:10" ht="23.25" x14ac:dyDescent="0.25">
      <c r="B4" s="300"/>
      <c r="F4" s="303"/>
      <c r="J4" s="302"/>
    </row>
    <row r="5" spans="2:10" x14ac:dyDescent="0.25">
      <c r="B5" s="300"/>
      <c r="J5" s="302"/>
    </row>
    <row r="6" spans="2:10" ht="18.75" x14ac:dyDescent="0.3">
      <c r="B6" s="300"/>
      <c r="D6" s="304"/>
      <c r="J6" s="302"/>
    </row>
    <row r="7" spans="2:10" x14ac:dyDescent="0.25">
      <c r="B7" s="300"/>
      <c r="J7" s="302"/>
    </row>
    <row r="8" spans="2:10" x14ac:dyDescent="0.25">
      <c r="B8" s="300"/>
      <c r="J8" s="302"/>
    </row>
    <row r="9" spans="2:10" x14ac:dyDescent="0.25">
      <c r="B9" s="300"/>
      <c r="J9" s="302"/>
    </row>
    <row r="10" spans="2:10" x14ac:dyDescent="0.25">
      <c r="B10" s="300"/>
      <c r="J10" s="302"/>
    </row>
    <row r="11" spans="2:10" x14ac:dyDescent="0.25">
      <c r="B11" s="300"/>
      <c r="J11" s="302"/>
    </row>
    <row r="12" spans="2:10" x14ac:dyDescent="0.25">
      <c r="B12" s="300"/>
      <c r="J12" s="302"/>
    </row>
    <row r="13" spans="2:10" x14ac:dyDescent="0.25">
      <c r="B13" s="300"/>
      <c r="J13" s="302"/>
    </row>
    <row r="14" spans="2:10" x14ac:dyDescent="0.25">
      <c r="B14" s="300"/>
      <c r="J14" s="302"/>
    </row>
    <row r="15" spans="2:10" x14ac:dyDescent="0.25">
      <c r="B15" s="300"/>
      <c r="J15" s="302"/>
    </row>
    <row r="16" spans="2:10" x14ac:dyDescent="0.25">
      <c r="B16" s="300"/>
      <c r="J16" s="302"/>
    </row>
    <row r="17" spans="2:14" x14ac:dyDescent="0.25">
      <c r="B17" s="300"/>
      <c r="C17" s="305"/>
      <c r="J17" s="302"/>
    </row>
    <row r="18" spans="2:14" x14ac:dyDescent="0.25">
      <c r="B18" s="300"/>
      <c r="C18" s="306"/>
      <c r="D18" s="306"/>
      <c r="E18" s="306"/>
      <c r="F18" s="306"/>
      <c r="G18" s="306"/>
      <c r="H18" s="306"/>
      <c r="I18" s="306"/>
      <c r="J18" s="307"/>
      <c r="K18" s="306"/>
      <c r="L18" s="306"/>
      <c r="M18" s="306"/>
      <c r="N18" s="306"/>
    </row>
    <row r="19" spans="2:14" x14ac:dyDescent="0.25">
      <c r="B19" s="300"/>
      <c r="C19" s="308"/>
      <c r="D19" s="308"/>
      <c r="E19" s="308"/>
      <c r="F19" s="308"/>
      <c r="G19" s="308"/>
      <c r="H19" s="308"/>
      <c r="I19" s="308"/>
      <c r="J19" s="309"/>
      <c r="K19" s="308"/>
      <c r="L19" s="308"/>
      <c r="M19" s="308"/>
      <c r="N19" s="308"/>
    </row>
    <row r="20" spans="2:14" ht="34.5" customHeight="1" x14ac:dyDescent="0.25">
      <c r="B20" s="300"/>
      <c r="C20" s="310"/>
      <c r="D20" s="310"/>
      <c r="E20" s="310"/>
      <c r="F20" s="310"/>
      <c r="G20" s="310"/>
      <c r="H20" s="310"/>
      <c r="I20" s="310"/>
      <c r="J20" s="311"/>
      <c r="K20" s="310"/>
      <c r="L20" s="310"/>
      <c r="M20" s="310"/>
      <c r="N20" s="310"/>
    </row>
    <row r="21" spans="2:14" ht="34.5" customHeight="1" x14ac:dyDescent="0.25">
      <c r="B21" s="300"/>
      <c r="C21" s="310"/>
      <c r="D21" s="310"/>
      <c r="E21" s="310"/>
      <c r="F21" s="310"/>
      <c r="G21" s="310"/>
      <c r="H21" s="310"/>
      <c r="I21" s="310"/>
      <c r="J21" s="311"/>
      <c r="K21" s="310"/>
      <c r="L21" s="310"/>
      <c r="M21" s="310"/>
      <c r="N21" s="310"/>
    </row>
    <row r="22" spans="2:14" ht="34.5" customHeight="1" x14ac:dyDescent="0.25">
      <c r="B22" s="300"/>
      <c r="C22" s="310"/>
      <c r="D22" s="310"/>
      <c r="E22" s="310"/>
      <c r="F22" s="310"/>
      <c r="G22" s="310"/>
      <c r="H22" s="310"/>
      <c r="I22" s="310"/>
      <c r="J22" s="311"/>
      <c r="K22" s="310"/>
      <c r="L22" s="310"/>
      <c r="M22" s="310"/>
      <c r="N22" s="310"/>
    </row>
    <row r="23" spans="2:14" ht="34.5" customHeight="1" x14ac:dyDescent="0.25">
      <c r="B23" s="300"/>
      <c r="C23" s="310"/>
      <c r="D23" s="310"/>
      <c r="E23" s="310"/>
      <c r="F23" s="310"/>
      <c r="G23" s="310"/>
      <c r="H23" s="310"/>
      <c r="I23" s="310"/>
      <c r="J23" s="311"/>
      <c r="K23" s="310"/>
      <c r="L23" s="310"/>
      <c r="M23" s="310"/>
      <c r="N23" s="310"/>
    </row>
    <row r="24" spans="2:14" ht="34.5" customHeight="1" x14ac:dyDescent="0.25">
      <c r="B24" s="300"/>
      <c r="C24" s="310"/>
      <c r="D24" s="310"/>
      <c r="E24" s="310"/>
      <c r="F24" s="310"/>
      <c r="G24" s="310"/>
      <c r="H24" s="310"/>
      <c r="I24" s="310"/>
      <c r="J24" s="311"/>
      <c r="K24" s="310"/>
      <c r="L24" s="310"/>
      <c r="M24" s="310"/>
      <c r="N24" s="310"/>
    </row>
    <row r="25" spans="2:14" ht="34.5" customHeight="1" x14ac:dyDescent="0.25">
      <c r="B25" s="300"/>
      <c r="C25" s="310"/>
      <c r="D25" s="310"/>
      <c r="E25" s="310"/>
      <c r="F25" s="310"/>
      <c r="G25" s="310"/>
      <c r="H25" s="310"/>
      <c r="I25" s="310"/>
      <c r="J25" s="311"/>
      <c r="K25" s="310"/>
      <c r="L25" s="310"/>
      <c r="M25" s="310"/>
      <c r="N25" s="310"/>
    </row>
    <row r="26" spans="2:14" ht="34.5" customHeight="1" x14ac:dyDescent="0.25">
      <c r="B26" s="300"/>
      <c r="J26" s="302"/>
    </row>
    <row r="27" spans="2:14" ht="34.5" customHeight="1" x14ac:dyDescent="0.25">
      <c r="B27" s="300"/>
      <c r="J27" s="302"/>
    </row>
    <row r="28" spans="2:14" x14ac:dyDescent="0.25">
      <c r="B28" s="300"/>
      <c r="J28" s="302"/>
    </row>
    <row r="29" spans="2:14" x14ac:dyDescent="0.25">
      <c r="B29" s="300"/>
      <c r="J29" s="302"/>
    </row>
    <row r="30" spans="2:14" x14ac:dyDescent="0.25">
      <c r="B30" s="300"/>
      <c r="J30" s="302"/>
    </row>
    <row r="31" spans="2:14" x14ac:dyDescent="0.25">
      <c r="B31" s="300"/>
      <c r="J31" s="302"/>
    </row>
    <row r="32" spans="2:14" x14ac:dyDescent="0.25">
      <c r="B32" s="300"/>
      <c r="J32" s="302"/>
    </row>
    <row r="33" spans="2:10" x14ac:dyDescent="0.25">
      <c r="B33" s="300"/>
      <c r="J33" s="302"/>
    </row>
    <row r="34" spans="2:10" x14ac:dyDescent="0.25">
      <c r="B34" s="300"/>
      <c r="J34" s="302"/>
    </row>
    <row r="35" spans="2:10" x14ac:dyDescent="0.25">
      <c r="B35" s="300"/>
      <c r="J35" s="302"/>
    </row>
    <row r="36" spans="2:10" x14ac:dyDescent="0.25">
      <c r="B36" s="300"/>
      <c r="J36" s="302"/>
    </row>
    <row r="37" spans="2:10" ht="15.75" thickBot="1" x14ac:dyDescent="0.3">
      <c r="B37" s="312"/>
      <c r="C37" s="313"/>
      <c r="D37" s="313"/>
      <c r="E37" s="313"/>
      <c r="F37" s="313"/>
      <c r="G37" s="313"/>
      <c r="H37" s="313"/>
      <c r="I37" s="313"/>
      <c r="J37" s="314"/>
    </row>
  </sheetData>
  <pageMargins left="0.51181102362204722" right="0.51181102362204722" top="0.78740157480314965" bottom="0.78740157480314965" header="0.31496062992125984" footer="0.31496062992125984"/>
  <pageSetup paperSize="9" scale="99" orientation="portrait" verticalDpi="599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34998626667073579"/>
  </sheetPr>
  <dimension ref="A1:G39"/>
  <sheetViews>
    <sheetView showGridLines="0" zoomScale="80" zoomScaleNormal="80" workbookViewId="0">
      <pane ySplit="3" topLeftCell="A4" activePane="bottomLeft" state="frozen"/>
      <selection activeCell="P10" sqref="P10"/>
      <selection pane="bottomLeft" activeCell="B25" sqref="B25"/>
    </sheetView>
  </sheetViews>
  <sheetFormatPr defaultColWidth="8.85546875" defaultRowHeight="15.75" x14ac:dyDescent="0.25"/>
  <cols>
    <col min="1" max="1" width="14.5703125" style="257" customWidth="1"/>
    <col min="2" max="2" width="72.5703125" style="259" customWidth="1"/>
    <col min="3" max="3" width="12.7109375" style="259" customWidth="1"/>
    <col min="4" max="4" width="14.140625" style="257" customWidth="1"/>
    <col min="5" max="5" width="13.42578125" style="257" customWidth="1"/>
    <col min="6" max="6" width="11.28515625" style="257" customWidth="1"/>
    <col min="7" max="7" width="17.28515625" style="257" customWidth="1"/>
    <col min="8" max="16384" width="8.85546875" style="257"/>
  </cols>
  <sheetData>
    <row r="1" spans="1:7" x14ac:dyDescent="0.25">
      <c r="A1" s="256" t="s">
        <v>295</v>
      </c>
      <c r="B1" s="267" t="s">
        <v>635</v>
      </c>
    </row>
    <row r="3" spans="1:7" ht="31.5" x14ac:dyDescent="0.25">
      <c r="A3" s="256" t="s">
        <v>99</v>
      </c>
      <c r="B3" s="256" t="s">
        <v>106</v>
      </c>
      <c r="C3" s="256" t="s">
        <v>163</v>
      </c>
      <c r="D3" s="256" t="s">
        <v>683</v>
      </c>
      <c r="E3" s="256" t="s">
        <v>684</v>
      </c>
      <c r="F3" s="256" t="s">
        <v>175</v>
      </c>
      <c r="G3" s="256" t="s">
        <v>132</v>
      </c>
    </row>
    <row r="4" spans="1:7" s="264" customFormat="1" x14ac:dyDescent="0.25">
      <c r="A4" s="258">
        <v>690001</v>
      </c>
      <c r="B4" s="260" t="str">
        <f>VLOOKUP(A4,'Tabela de Códigos e Valores'!A:AJ,2,FALSE)</f>
        <v>Auxiliar de limpeza - diurno - 44 horas semanais (segunda a sexta-feira)</v>
      </c>
      <c r="C4" s="260" t="str">
        <f>VLOOKUP(A4,'Tabela de Códigos e Valores'!$A:$AJ,5,FALSE)</f>
        <v>Posto</v>
      </c>
      <c r="D4" s="261" t="str">
        <f>VLOOKUP(A4,'Tabela de Códigos e Valores'!$A:$AJ,6,FALSE)</f>
        <v>Mensal</v>
      </c>
      <c r="E4" s="262">
        <f>ROUND(VLOOKUP(A4,'Tabela de Códigos e Valores'!$A:$AJ,33,FALSE),2)</f>
        <v>4410.1099999999997</v>
      </c>
      <c r="F4" s="263">
        <f>IFERROR(VLOOKUP($B$1,'Centro de Custo - ISS'!$B:$D,3,FALSE),0)</f>
        <v>0.3075</v>
      </c>
      <c r="G4" s="265">
        <f>ROUND(E4*(1+F4),2)</f>
        <v>5766.22</v>
      </c>
    </row>
    <row r="5" spans="1:7" s="264" customFormat="1" x14ac:dyDescent="0.25">
      <c r="A5" s="258">
        <v>690002</v>
      </c>
      <c r="B5" s="260" t="str">
        <f>VLOOKUP(A5,'Tabela de Códigos e Valores'!A:AJ,2,FALSE)</f>
        <v>Auxiliar de limpeza - diurno - 24 horas  semanais</v>
      </c>
      <c r="C5" s="260" t="str">
        <f>VLOOKUP(A5,'Tabela de Códigos e Valores'!$A:$AJ,5,FALSE)</f>
        <v>Posto</v>
      </c>
      <c r="D5" s="261" t="str">
        <f>VLOOKUP(A5,'Tabela de Códigos e Valores'!$A:$AJ,6,FALSE)</f>
        <v>Mensal</v>
      </c>
      <c r="E5" s="262">
        <f>ROUND(VLOOKUP(A5,'Tabela de Códigos e Valores'!$A:$AJ,33,FALSE),2)</f>
        <v>2605.9899999999998</v>
      </c>
      <c r="F5" s="263">
        <f>IFERROR(VLOOKUP($B$1,'Centro de Custo - ISS'!$B:$D,3,FALSE),0)</f>
        <v>0.3075</v>
      </c>
      <c r="G5" s="265">
        <f t="shared" ref="G5:G37" si="0">ROUND(E5*(1+F5),2)</f>
        <v>3407.33</v>
      </c>
    </row>
    <row r="6" spans="1:7" s="264" customFormat="1" x14ac:dyDescent="0.25">
      <c r="A6" s="258">
        <v>690003</v>
      </c>
      <c r="B6" s="260" t="str">
        <f>VLOOKUP(A6,'Tabela de Códigos e Valores'!A:AJ,2,FALSE)</f>
        <v>Auxiliar de limpeza - noturno - 44 horas  semanais</v>
      </c>
      <c r="C6" s="260" t="str">
        <f>VLOOKUP(A6,'Tabela de Códigos e Valores'!$A:$AJ,5,FALSE)</f>
        <v>Posto</v>
      </c>
      <c r="D6" s="261" t="str">
        <f>VLOOKUP(A6,'Tabela de Códigos e Valores'!$A:$AJ,6,FALSE)</f>
        <v>Mensal</v>
      </c>
      <c r="E6" s="262">
        <f>ROUND(VLOOKUP(A6,'Tabela de Códigos e Valores'!$A:$AJ,33,FALSE),2)</f>
        <v>5148.67</v>
      </c>
      <c r="F6" s="263">
        <f>IFERROR(VLOOKUP($B$1,'Centro de Custo - ISS'!$B:$D,3,FALSE),0)</f>
        <v>0.3075</v>
      </c>
      <c r="G6" s="265">
        <f t="shared" si="0"/>
        <v>6731.89</v>
      </c>
    </row>
    <row r="7" spans="1:7" s="264" customFormat="1" ht="31.5" x14ac:dyDescent="0.25">
      <c r="A7" s="258">
        <v>690004</v>
      </c>
      <c r="B7" s="266" t="str">
        <f>VLOOKUP(A7,'Tabela de Códigos e Valores'!A:AJ,2,FALSE)</f>
        <v>Serviço de limpeza - plantonista - domingos e feriados (5 horas)</v>
      </c>
      <c r="C7" s="260" t="str">
        <f>VLOOKUP(A7,'Tabela de Códigos e Valores'!$A:$AJ,5,FALSE)</f>
        <v>Plantão - Dom/Fer</v>
      </c>
      <c r="D7" s="261" t="str">
        <f>VLOOKUP(A7,'Tabela de Códigos e Valores'!$A:$AJ,6,FALSE)</f>
        <v>Mensal</v>
      </c>
      <c r="E7" s="262">
        <f>ROUND(VLOOKUP(A7,'Tabela de Códigos e Valores'!$A:$AJ,33,FALSE),2)</f>
        <v>1015.2</v>
      </c>
      <c r="F7" s="263">
        <f>IFERROR(VLOOKUP($B$1,'Centro de Custo - ISS'!$B:$D,3,FALSE),0)</f>
        <v>0.3075</v>
      </c>
      <c r="G7" s="265">
        <f t="shared" si="0"/>
        <v>1327.37</v>
      </c>
    </row>
    <row r="8" spans="1:7" s="264" customFormat="1" x14ac:dyDescent="0.25">
      <c r="A8" s="258">
        <v>690013</v>
      </c>
      <c r="B8" s="260" t="str">
        <f>VLOOKUP(A8,'Tabela de Códigos e Valores'!A:AJ,2,FALSE)</f>
        <v>Limpador(a) de vidros - diurno - 44 horas semanais</v>
      </c>
      <c r="C8" s="260" t="str">
        <f>VLOOKUP(A8,'Tabela de Códigos e Valores'!$A:$AJ,5,FALSE)</f>
        <v>Posto</v>
      </c>
      <c r="D8" s="261" t="str">
        <f>VLOOKUP(A8,'Tabela de Códigos e Valores'!$A:$AJ,6,FALSE)</f>
        <v>Mensal</v>
      </c>
      <c r="E8" s="262">
        <f>ROUND(VLOOKUP(A8,'Tabela de Códigos e Valores'!$A:$AJ,33,FALSE),2)</f>
        <v>4783.1499999999996</v>
      </c>
      <c r="F8" s="263">
        <f>IFERROR(VLOOKUP($B$1,'Centro de Custo - ISS'!$B:$D,3,FALSE),0)</f>
        <v>0.3075</v>
      </c>
      <c r="G8" s="265">
        <f t="shared" si="0"/>
        <v>6253.97</v>
      </c>
    </row>
    <row r="9" spans="1:7" s="264" customFormat="1" x14ac:dyDescent="0.25">
      <c r="A9" s="258">
        <v>690014</v>
      </c>
      <c r="B9" s="260" t="str">
        <f>VLOOKUP(A9,'Tabela de Códigos e Valores'!A:AJ,2,FALSE)</f>
        <v>Limpador(a) de vidros - noturno - 44 horas semanais</v>
      </c>
      <c r="C9" s="260" t="str">
        <f>VLOOKUP(A9,'Tabela de Códigos e Valores'!$A:$AJ,5,FALSE)</f>
        <v>Posto</v>
      </c>
      <c r="D9" s="261" t="str">
        <f>VLOOKUP(A9,'Tabela de Códigos e Valores'!$A:$AJ,6,FALSE)</f>
        <v>Mensal</v>
      </c>
      <c r="E9" s="262">
        <f>ROUND(VLOOKUP(A9,'Tabela de Códigos e Valores'!$A:$AJ,33,FALSE),2)</f>
        <v>5835.59</v>
      </c>
      <c r="F9" s="263">
        <f>IFERROR(VLOOKUP($B$1,'Centro de Custo - ISS'!$B:$D,3,FALSE),0)</f>
        <v>0.3075</v>
      </c>
      <c r="G9" s="265">
        <f t="shared" si="0"/>
        <v>7630.03</v>
      </c>
    </row>
    <row r="10" spans="1:7" s="264" customFormat="1" x14ac:dyDescent="0.25">
      <c r="A10" s="258">
        <v>690015</v>
      </c>
      <c r="B10" s="260" t="str">
        <f>VLOOKUP(A10,'Tabela de Códigos e Valores'!A:AJ,2,FALSE)</f>
        <v>Limpador(a) de vidros com exposição à risco - diurno - 44 horas semanais</v>
      </c>
      <c r="C10" s="260" t="str">
        <f>VLOOKUP(A10,'Tabela de Códigos e Valores'!$A:$AJ,5,FALSE)</f>
        <v>Posto</v>
      </c>
      <c r="D10" s="261" t="str">
        <f>VLOOKUP(A10,'Tabela de Códigos e Valores'!$A:$AJ,6,FALSE)</f>
        <v>Mensal</v>
      </c>
      <c r="E10" s="262">
        <f>ROUND(VLOOKUP(A10,'Tabela de Códigos e Valores'!$A:$AJ,33,FALSE),2)</f>
        <v>5924.85</v>
      </c>
      <c r="F10" s="263">
        <f>IFERROR(VLOOKUP($B$1,'Centro de Custo - ISS'!$B:$D,3,FALSE),0)</f>
        <v>0.3075</v>
      </c>
      <c r="G10" s="265">
        <f t="shared" si="0"/>
        <v>7746.74</v>
      </c>
    </row>
    <row r="11" spans="1:7" s="264" customFormat="1" x14ac:dyDescent="0.25">
      <c r="A11" s="258">
        <v>690016</v>
      </c>
      <c r="B11" s="260" t="str">
        <f>VLOOKUP(A11,'Tabela de Códigos e Valores'!A:AJ,2,FALSE)</f>
        <v>Limpador(a) de vidros com exposição à risco - diurno - 24 horas semanais</v>
      </c>
      <c r="C11" s="260" t="str">
        <f>VLOOKUP(A11,'Tabela de Códigos e Valores'!$A:$AJ,5,FALSE)</f>
        <v>Posto</v>
      </c>
      <c r="D11" s="261" t="str">
        <f>VLOOKUP(A11,'Tabela de Códigos e Valores'!$A:$AJ,6,FALSE)</f>
        <v>Mensal</v>
      </c>
      <c r="E11" s="262">
        <f>ROUND(VLOOKUP(A11,'Tabela de Códigos e Valores'!$A:$AJ,33,FALSE),2)</f>
        <v>3535</v>
      </c>
      <c r="F11" s="263">
        <f>IFERROR(VLOOKUP($B$1,'Centro de Custo - ISS'!$B:$D,3,FALSE),0)</f>
        <v>0.3075</v>
      </c>
      <c r="G11" s="265">
        <f t="shared" si="0"/>
        <v>4622.01</v>
      </c>
    </row>
    <row r="12" spans="1:7" s="264" customFormat="1" ht="31.5" x14ac:dyDescent="0.25">
      <c r="A12" s="258">
        <v>690017</v>
      </c>
      <c r="B12" s="260" t="str">
        <f>VLOOKUP(A12,'Tabela de Códigos e Valores'!A:AJ,2,FALSE)</f>
        <v>Limpador(a) de vidros com exposição à risco - noturno - 44 horas semanais</v>
      </c>
      <c r="C12" s="260" t="str">
        <f>VLOOKUP(A12,'Tabela de Códigos e Valores'!$A:$AJ,5,FALSE)</f>
        <v>Posto</v>
      </c>
      <c r="D12" s="261" t="str">
        <f>VLOOKUP(A12,'Tabela de Códigos e Valores'!$A:$AJ,6,FALSE)</f>
        <v>Mensal</v>
      </c>
      <c r="E12" s="262">
        <f>ROUND(VLOOKUP(A12,'Tabela de Códigos e Valores'!$A:$AJ,33,FALSE),2)</f>
        <v>6977.28</v>
      </c>
      <c r="F12" s="263">
        <f>IFERROR(VLOOKUP($B$1,'Centro de Custo - ISS'!$B:$D,3,FALSE),0)</f>
        <v>0.3075</v>
      </c>
      <c r="G12" s="265">
        <f t="shared" si="0"/>
        <v>9122.7900000000009</v>
      </c>
    </row>
    <row r="13" spans="1:7" s="264" customFormat="1" x14ac:dyDescent="0.25">
      <c r="A13" s="258">
        <v>690018</v>
      </c>
      <c r="B13" s="260" t="str">
        <f>VLOOKUP(A13,'Tabela de Códigos e Valores'!A:AJ,2,FALSE)</f>
        <v>Jardineiro(a) - 44 horas semanais</v>
      </c>
      <c r="C13" s="260" t="str">
        <f>VLOOKUP(A13,'Tabela de Códigos e Valores'!$A:$AJ,5,FALSE)</f>
        <v>Posto</v>
      </c>
      <c r="D13" s="261" t="str">
        <f>VLOOKUP(A13,'Tabela de Códigos e Valores'!$A:$AJ,6,FALSE)</f>
        <v>Mensal</v>
      </c>
      <c r="E13" s="262">
        <f>ROUND(VLOOKUP(A13,'Tabela de Códigos e Valores'!$A:$AJ,33,FALSE),2)</f>
        <v>4958.43</v>
      </c>
      <c r="F13" s="263">
        <f>IFERROR(VLOOKUP($B$1,'Centro de Custo - ISS'!$B:$D,3,FALSE),0)</f>
        <v>0.3075</v>
      </c>
      <c r="G13" s="265">
        <f t="shared" si="0"/>
        <v>6483.15</v>
      </c>
    </row>
    <row r="14" spans="1:7" s="264" customFormat="1" x14ac:dyDescent="0.25">
      <c r="A14" s="258">
        <v>690019</v>
      </c>
      <c r="B14" s="260" t="str">
        <f>VLOOKUP(A14,'Tabela de Códigos e Valores'!A:AJ,2,FALSE)</f>
        <v>Jardineiro(a) - 24 horas semanais</v>
      </c>
      <c r="C14" s="260" t="str">
        <f>VLOOKUP(A14,'Tabela de Códigos e Valores'!$A:$AJ,5,FALSE)</f>
        <v>Posto</v>
      </c>
      <c r="D14" s="261" t="str">
        <f>VLOOKUP(A14,'Tabela de Códigos e Valores'!$A:$AJ,6,FALSE)</f>
        <v>Mensal</v>
      </c>
      <c r="E14" s="262">
        <f>ROUND(VLOOKUP(A14,'Tabela de Códigos e Valores'!$A:$AJ,33,FALSE),2)</f>
        <v>3604.66</v>
      </c>
      <c r="F14" s="263">
        <f>IFERROR(VLOOKUP($B$1,'Centro de Custo - ISS'!$B:$D,3,FALSE),0)</f>
        <v>0.3075</v>
      </c>
      <c r="G14" s="265">
        <f t="shared" si="0"/>
        <v>4713.09</v>
      </c>
    </row>
    <row r="15" spans="1:7" s="264" customFormat="1" x14ac:dyDescent="0.25">
      <c r="A15" s="258">
        <v>690020</v>
      </c>
      <c r="B15" s="260" t="str">
        <f>VLOOKUP(A15,'Tabela de Códigos e Valores'!A:AJ,2,FALSE)</f>
        <v>Serviço de Jardinagem</v>
      </c>
      <c r="C15" s="260" t="str">
        <f>VLOOKUP(A15,'Tabela de Códigos e Valores'!$A:$AJ,5,FALSE)</f>
        <v>M2</v>
      </c>
      <c r="D15" s="261" t="str">
        <f>VLOOKUP(A15,'Tabela de Códigos e Valores'!$A:$AJ,6,FALSE)</f>
        <v>Mensal</v>
      </c>
      <c r="E15" s="262">
        <f>ROUND(VLOOKUP(A15,'Tabela de Códigos e Valores'!$A:$AJ,33,FALSE),2)</f>
        <v>0.84</v>
      </c>
      <c r="F15" s="263">
        <f>IFERROR(VLOOKUP($B$1,'Centro de Custo - ISS'!$B:$D,3,FALSE),0)</f>
        <v>0.3075</v>
      </c>
      <c r="G15" s="265">
        <f t="shared" si="0"/>
        <v>1.1000000000000001</v>
      </c>
    </row>
    <row r="16" spans="1:7" s="264" customFormat="1" x14ac:dyDescent="0.25">
      <c r="A16" s="258">
        <v>690021</v>
      </c>
      <c r="B16" s="260" t="str">
        <f>VLOOKUP(A16,'Tabela de Códigos e Valores'!A:AJ,2,FALSE)</f>
        <v>Serviço de limpeza de vidros com exposição à situação de risco</v>
      </c>
      <c r="C16" s="260" t="str">
        <f>VLOOKUP(A16,'Tabela de Códigos e Valores'!$A:$AJ,5,FALSE)</f>
        <v>M2</v>
      </c>
      <c r="D16" s="261" t="str">
        <f>VLOOKUP(A16,'Tabela de Códigos e Valores'!$A:$AJ,6,FALSE)</f>
        <v>Trimestral</v>
      </c>
      <c r="E16" s="262">
        <f>ROUND(VLOOKUP(A16,'Tabela de Códigos e Valores'!$A:$AJ,33,FALSE),2)</f>
        <v>2.2200000000000002</v>
      </c>
      <c r="F16" s="263">
        <f>IFERROR(VLOOKUP($B$1,'Centro de Custo - ISS'!$B:$D,3,FALSE),0)</f>
        <v>0.3075</v>
      </c>
      <c r="G16" s="265">
        <f t="shared" si="0"/>
        <v>2.9</v>
      </c>
    </row>
    <row r="17" spans="1:7" s="264" customFormat="1" x14ac:dyDescent="0.25">
      <c r="A17" s="258">
        <v>690022</v>
      </c>
      <c r="B17" s="260" t="str">
        <f>VLOOKUP(A17,'Tabela de Códigos e Valores'!A:AJ,2,FALSE)</f>
        <v>Auxiliar de limpeza área médica - diurno - 44 horas semanais</v>
      </c>
      <c r="C17" s="260" t="str">
        <f>VLOOKUP(A17,'Tabela de Códigos e Valores'!$A:$AJ,5,FALSE)</f>
        <v>Posto</v>
      </c>
      <c r="D17" s="261" t="str">
        <f>VLOOKUP(A17,'Tabela de Códigos e Valores'!$A:$AJ,6,FALSE)</f>
        <v>Mensal</v>
      </c>
      <c r="E17" s="262">
        <f>ROUND(VLOOKUP(A17,'Tabela de Códigos e Valores'!$A:$AJ,33,FALSE),2)</f>
        <v>5033.78</v>
      </c>
      <c r="F17" s="263">
        <f>IFERROR(VLOOKUP($B$1,'Centro de Custo - ISS'!$B:$D,3,FALSE),0)</f>
        <v>0.3075</v>
      </c>
      <c r="G17" s="265">
        <f t="shared" si="0"/>
        <v>6581.67</v>
      </c>
    </row>
    <row r="18" spans="1:7" s="264" customFormat="1" ht="31.5" x14ac:dyDescent="0.25">
      <c r="A18" s="258">
        <v>690025</v>
      </c>
      <c r="B18" s="260" t="str">
        <f>VLOOKUP(A18,'Tabela de Códigos e Valores'!A:AJ,2,FALSE)</f>
        <v>Serviço de limpeza - plantonista - sábado (5 horas)</v>
      </c>
      <c r="C18" s="260" t="str">
        <f>VLOOKUP(A18,'Tabela de Códigos e Valores'!$A:$AJ,5,FALSE)</f>
        <v>Plantão - Sábado</v>
      </c>
      <c r="D18" s="261" t="str">
        <f>VLOOKUP(A18,'Tabela de Códigos e Valores'!$A:$AJ,6,FALSE)</f>
        <v>Mensal</v>
      </c>
      <c r="E18" s="262">
        <f>ROUND(VLOOKUP(A18,'Tabela de Códigos e Valores'!$A:$AJ,33,FALSE),2)</f>
        <v>672.5</v>
      </c>
      <c r="F18" s="263">
        <f>IFERROR(VLOOKUP($B$1,'Centro de Custo - ISS'!$B:$D,3,FALSE),0)</f>
        <v>0.3075</v>
      </c>
      <c r="G18" s="265">
        <f t="shared" si="0"/>
        <v>879.29</v>
      </c>
    </row>
    <row r="19" spans="1:7" s="264" customFormat="1" x14ac:dyDescent="0.25">
      <c r="A19" s="258">
        <v>690026</v>
      </c>
      <c r="B19" s="260" t="str">
        <f>VLOOKUP(A19,'Tabela de Códigos e Valores'!A:AJ,2,FALSE)</f>
        <v>Copeiro(a) - diurno - 44 horas semanais</v>
      </c>
      <c r="C19" s="260" t="str">
        <f>VLOOKUP(A19,'Tabela de Códigos e Valores'!$A:$AJ,5,FALSE)</f>
        <v>Posto</v>
      </c>
      <c r="D19" s="261" t="str">
        <f>VLOOKUP(A19,'Tabela de Códigos e Valores'!$A:$AJ,6,FALSE)</f>
        <v>Mensal</v>
      </c>
      <c r="E19" s="262">
        <f>ROUND(VLOOKUP(A19,'Tabela de Códigos e Valores'!$A:$AJ,33,FALSE),2)</f>
        <v>3901.26</v>
      </c>
      <c r="F19" s="263">
        <f>IFERROR(VLOOKUP($B$1,'Centro de Custo - ISS'!$B:$D,3,FALSE),0)</f>
        <v>0.3075</v>
      </c>
      <c r="G19" s="265">
        <f t="shared" si="0"/>
        <v>5100.8999999999996</v>
      </c>
    </row>
    <row r="20" spans="1:7" s="264" customFormat="1" x14ac:dyDescent="0.25">
      <c r="A20" s="258">
        <v>690028</v>
      </c>
      <c r="B20" s="260" t="str">
        <f>VLOOKUP(A20,'Tabela de Códigos e Valores'!A:AJ,2,FALSE)</f>
        <v>Supervisor(a) de limpeza - diurno - 44 horas semanais</v>
      </c>
      <c r="C20" s="260" t="str">
        <f>VLOOKUP(A20,'Tabela de Códigos e Valores'!$A:$AJ,5,FALSE)</f>
        <v>Posto</v>
      </c>
      <c r="D20" s="261" t="str">
        <f>VLOOKUP(A20,'Tabela de Códigos e Valores'!$A:$AJ,6,FALSE)</f>
        <v>Mensal</v>
      </c>
      <c r="E20" s="262">
        <f>ROUND(VLOOKUP(A20,'Tabela de Códigos e Valores'!$A:$AJ,33,FALSE),2)</f>
        <v>5141.12</v>
      </c>
      <c r="F20" s="263">
        <f>IFERROR(VLOOKUP($B$1,'Centro de Custo - ISS'!$B:$D,3,FALSE),0)</f>
        <v>0.3075</v>
      </c>
      <c r="G20" s="265">
        <f t="shared" si="0"/>
        <v>6722.01</v>
      </c>
    </row>
    <row r="21" spans="1:7" s="264" customFormat="1" x14ac:dyDescent="0.25">
      <c r="A21" s="258">
        <v>690029</v>
      </c>
      <c r="B21" s="260" t="str">
        <f>VLOOKUP(A21,'Tabela de Códigos e Valores'!A:AJ,2,FALSE)</f>
        <v>Serviço de limpeza de vidros sem exposição à situação de risco</v>
      </c>
      <c r="C21" s="260" t="str">
        <f>VLOOKUP(A21,'Tabela de Códigos e Valores'!$A:$AJ,5,FALSE)</f>
        <v>M2</v>
      </c>
      <c r="D21" s="261" t="str">
        <f>VLOOKUP(A21,'Tabela de Códigos e Valores'!$A:$AJ,6,FALSE)</f>
        <v>Trimestral</v>
      </c>
      <c r="E21" s="262">
        <f>ROUND(VLOOKUP(A21,'Tabela de Códigos e Valores'!$A:$AJ,33,FALSE),2)</f>
        <v>1.74</v>
      </c>
      <c r="F21" s="263">
        <f>IFERROR(VLOOKUP($B$1,'Centro de Custo - ISS'!$B:$D,3,FALSE),0)</f>
        <v>0.3075</v>
      </c>
      <c r="G21" s="265">
        <f t="shared" si="0"/>
        <v>2.2799999999999998</v>
      </c>
    </row>
    <row r="22" spans="1:7" s="264" customFormat="1" ht="31.5" x14ac:dyDescent="0.25">
      <c r="A22" s="258">
        <v>690030</v>
      </c>
      <c r="B22" s="260" t="str">
        <f>VLOOKUP(A22,'Tabela de Códigos e Valores'!A:AJ,2,FALSE)</f>
        <v>Serviço de encarregado - plantonista - sábado</v>
      </c>
      <c r="C22" s="260" t="str">
        <f>VLOOKUP(A22,'Tabela de Códigos e Valores'!$A:$AJ,5,FALSE)</f>
        <v>Plantão - Sábado</v>
      </c>
      <c r="D22" s="261" t="str">
        <f>VLOOKUP(A22,'Tabela de Códigos e Valores'!$A:$AJ,6,FALSE)</f>
        <v>Mensal</v>
      </c>
      <c r="E22" s="262">
        <f>ROUND(VLOOKUP(A22,'Tabela de Códigos e Valores'!$A:$AJ,33,FALSE),2)</f>
        <v>833.25</v>
      </c>
      <c r="F22" s="263">
        <f>IFERROR(VLOOKUP($B$1,'Centro de Custo - ISS'!$B:$D,3,FALSE),0)</f>
        <v>0.3075</v>
      </c>
      <c r="G22" s="265">
        <f t="shared" si="0"/>
        <v>1089.47</v>
      </c>
    </row>
    <row r="23" spans="1:7" s="264" customFormat="1" ht="31.5" x14ac:dyDescent="0.25">
      <c r="A23" s="258">
        <v>690031</v>
      </c>
      <c r="B23" s="260" t="str">
        <f>VLOOKUP(A23,'Tabela de Códigos e Valores'!A:AJ,2,FALSE)</f>
        <v>Serviço de encarregado - plantonista - domingos e feriados</v>
      </c>
      <c r="C23" s="260" t="str">
        <f>VLOOKUP(A23,'Tabela de Códigos e Valores'!$A:$AJ,5,FALSE)</f>
        <v>Plantão - Dom/Fer</v>
      </c>
      <c r="D23" s="261" t="str">
        <f>VLOOKUP(A23,'Tabela de Códigos e Valores'!$A:$AJ,6,FALSE)</f>
        <v>Mensal</v>
      </c>
      <c r="E23" s="262">
        <f>ROUND(VLOOKUP(A23,'Tabela de Códigos e Valores'!$A:$AJ,33,FALSE),2)</f>
        <v>1272.5999999999999</v>
      </c>
      <c r="F23" s="263">
        <f>IFERROR(VLOOKUP($B$1,'Centro de Custo - ISS'!$B:$D,3,FALSE),0)</f>
        <v>0.3075</v>
      </c>
      <c r="G23" s="265">
        <f t="shared" si="0"/>
        <v>1663.92</v>
      </c>
    </row>
    <row r="24" spans="1:7" s="264" customFormat="1" x14ac:dyDescent="0.25">
      <c r="A24" s="258">
        <v>690032</v>
      </c>
      <c r="B24" s="260" t="str">
        <f>VLOOKUP(A24,'Tabela de Códigos e Valores'!A:AJ,2,FALSE)</f>
        <v>Auxiliar de limpeza - diurno - 44 horas semanais (segunda a sábado)</v>
      </c>
      <c r="C24" s="260" t="str">
        <f>VLOOKUP(A24,'Tabela de Códigos e Valores'!$A:$AJ,5,FALSE)</f>
        <v>Posto</v>
      </c>
      <c r="D24" s="261" t="str">
        <f>VLOOKUP(A24,'Tabela de Códigos e Valores'!$A:$AJ,6,FALSE)</f>
        <v>Mensal</v>
      </c>
      <c r="E24" s="262">
        <f>ROUND(VLOOKUP(A24,'Tabela de Códigos e Valores'!$A:$AJ,33,FALSE),2)</f>
        <v>4559.4399999999996</v>
      </c>
      <c r="F24" s="263">
        <f>IFERROR(VLOOKUP($B$1,'Centro de Custo - ISS'!$B:$D,3,FALSE),0)</f>
        <v>0.3075</v>
      </c>
      <c r="G24" s="265">
        <f t="shared" si="0"/>
        <v>5961.47</v>
      </c>
    </row>
    <row r="25" spans="1:7" s="264" customFormat="1" ht="31.5" x14ac:dyDescent="0.25">
      <c r="A25" s="258">
        <v>690033</v>
      </c>
      <c r="B25" s="260" t="str">
        <f>VLOOKUP(A25,'Tabela de Códigos e Valores'!A:AJ,2,FALSE)</f>
        <v>Serviço de limpeza - plantonista - recesso judiciário (5 horas)</v>
      </c>
      <c r="C25" s="260" t="str">
        <f>VLOOKUP(A25,'Tabela de Códigos e Valores'!$A:$AJ,5,FALSE)</f>
        <v>Plantão - Recesso</v>
      </c>
      <c r="D25" s="261" t="str">
        <f>VLOOKUP(A25,'Tabela de Códigos e Valores'!$A:$AJ,6,FALSE)</f>
        <v>Anual</v>
      </c>
      <c r="E25" s="262">
        <f>ROUND(VLOOKUP(A25,'Tabela de Códigos e Valores'!$A:$AJ,33,FALSE),2)</f>
        <v>1015.2</v>
      </c>
      <c r="F25" s="263">
        <f>IFERROR(VLOOKUP($B$1,'Centro de Custo - ISS'!$B:$D,3,FALSE),0)</f>
        <v>0.3075</v>
      </c>
      <c r="G25" s="265">
        <f t="shared" si="0"/>
        <v>1327.37</v>
      </c>
    </row>
    <row r="26" spans="1:7" s="264" customFormat="1" x14ac:dyDescent="0.25">
      <c r="A26" s="258">
        <v>690035</v>
      </c>
      <c r="B26" s="260" t="str">
        <f>VLOOKUP(A26,'Tabela de Códigos e Valores'!A:AJ,2,FALSE)</f>
        <v>Copeiro(a) - diurno - 24 horas semanais</v>
      </c>
      <c r="C26" s="260" t="str">
        <f>VLOOKUP(A26,'Tabela de Códigos e Valores'!$A:$AJ,5,FALSE)</f>
        <v>Posto</v>
      </c>
      <c r="D26" s="261" t="str">
        <f>VLOOKUP(A26,'Tabela de Códigos e Valores'!$A:$AJ,6,FALSE)</f>
        <v>Mensal</v>
      </c>
      <c r="E26" s="262">
        <f>ROUND(VLOOKUP(A26,'Tabela de Códigos e Valores'!$A:$AJ,33,FALSE),2)</f>
        <v>2305.4699999999998</v>
      </c>
      <c r="F26" s="263">
        <f>IFERROR(VLOOKUP($B$1,'Centro de Custo - ISS'!$B:$D,3,FALSE),0)</f>
        <v>0.3075</v>
      </c>
      <c r="G26" s="265">
        <f t="shared" si="0"/>
        <v>3014.4</v>
      </c>
    </row>
    <row r="27" spans="1:7" s="264" customFormat="1" x14ac:dyDescent="0.25">
      <c r="A27" s="258">
        <v>690037</v>
      </c>
      <c r="B27" s="260" t="str">
        <f>VLOOKUP(A27,'Tabela de Códigos e Valores'!A:AJ,2,FALSE)</f>
        <v>Agente de Higienização (Tempo Integral) - (40%) - 44 horas semanais</v>
      </c>
      <c r="C27" s="260" t="str">
        <f>VLOOKUP(A27,'Tabela de Códigos e Valores'!$A:$AJ,5,FALSE)</f>
        <v>Posto</v>
      </c>
      <c r="D27" s="261" t="str">
        <f>VLOOKUP(A27,'Tabela de Códigos e Valores'!$A:$AJ,6,FALSE)</f>
        <v>Mensal</v>
      </c>
      <c r="E27" s="262">
        <f>ROUND(VLOOKUP(A27,'Tabela de Códigos e Valores'!$A:$AJ,33,FALSE),2)</f>
        <v>5637.74</v>
      </c>
      <c r="F27" s="263">
        <f>IFERROR(VLOOKUP($B$1,'Centro de Custo - ISS'!$B:$D,3,FALSE),0)</f>
        <v>0.3075</v>
      </c>
      <c r="G27" s="265">
        <f t="shared" si="0"/>
        <v>7371.35</v>
      </c>
    </row>
    <row r="28" spans="1:7" s="264" customFormat="1" x14ac:dyDescent="0.25">
      <c r="A28" s="258">
        <v>690038</v>
      </c>
      <c r="B28" s="260" t="str">
        <f>VLOOKUP(A28,'Tabela de Códigos e Valores'!A:AJ,2,FALSE)</f>
        <v>Agente de Higienização (Tempo Integral) - (40%) - 24 horas semanais</v>
      </c>
      <c r="C28" s="260" t="str">
        <f>VLOOKUP(A28,'Tabela de Códigos e Valores'!$A:$AJ,5,FALSE)</f>
        <v>Posto</v>
      </c>
      <c r="D28" s="261" t="str">
        <f>VLOOKUP(A28,'Tabela de Códigos e Valores'!$A:$AJ,6,FALSE)</f>
        <v>Mensal</v>
      </c>
      <c r="E28" s="262">
        <f>ROUND(VLOOKUP(A28,'Tabela de Códigos e Valores'!$A:$AJ,33,FALSE),2)</f>
        <v>3833.61</v>
      </c>
      <c r="F28" s="263">
        <f>IFERROR(VLOOKUP($B$1,'Centro de Custo - ISS'!$B:$D,3,FALSE),0)</f>
        <v>0.3075</v>
      </c>
      <c r="G28" s="265">
        <f t="shared" si="0"/>
        <v>5012.45</v>
      </c>
    </row>
    <row r="29" spans="1:7" s="264" customFormat="1" x14ac:dyDescent="0.25">
      <c r="A29" s="258">
        <v>690054</v>
      </c>
      <c r="B29" s="260" t="str">
        <f>VLOOKUP(A29,'Tabela de Códigos e Valores'!A:AJ,2,FALSE)</f>
        <v>Líder até 10 subordinados - diurno - 44 horas semanais</v>
      </c>
      <c r="C29" s="260" t="str">
        <f>VLOOKUP(A29,'Tabela de Códigos e Valores'!$A:$AJ,5,FALSE)</f>
        <v>Posto</v>
      </c>
      <c r="D29" s="261" t="str">
        <f>VLOOKUP(A29,'Tabela de Códigos e Valores'!$A:$AJ,6,FALSE)</f>
        <v>Mensal</v>
      </c>
      <c r="E29" s="262">
        <f>ROUND(VLOOKUP(A29,'Tabela de Códigos e Valores'!$A:$AJ,33,FALSE),2)</f>
        <v>4725.72</v>
      </c>
      <c r="F29" s="263">
        <f>IFERROR(VLOOKUP($B$1,'Centro de Custo - ISS'!$B:$D,3,FALSE),0)</f>
        <v>0.3075</v>
      </c>
      <c r="G29" s="265">
        <f t="shared" si="0"/>
        <v>6178.88</v>
      </c>
    </row>
    <row r="30" spans="1:7" s="264" customFormat="1" x14ac:dyDescent="0.25">
      <c r="A30" s="258">
        <v>690055</v>
      </c>
      <c r="B30" s="260" t="str">
        <f>VLOOKUP(A30,'Tabela de Códigos e Valores'!A:AJ,2,FALSE)</f>
        <v>Líder até 10 subordinados - noturno - 44 horas semanais</v>
      </c>
      <c r="C30" s="260" t="str">
        <f>VLOOKUP(A30,'Tabela de Códigos e Valores'!$A:$AJ,5,FALSE)</f>
        <v>Posto</v>
      </c>
      <c r="D30" s="261" t="str">
        <f>VLOOKUP(A30,'Tabela de Códigos e Valores'!$A:$AJ,6,FALSE)</f>
        <v>Mensal</v>
      </c>
      <c r="E30" s="262">
        <f>ROUND(VLOOKUP(A30,'Tabela de Códigos e Valores'!$A:$AJ,33,FALSE),2)</f>
        <v>5531.17</v>
      </c>
      <c r="F30" s="263">
        <f>IFERROR(VLOOKUP($B$1,'Centro de Custo - ISS'!$B:$D,3,FALSE),0)</f>
        <v>0.3075</v>
      </c>
      <c r="G30" s="265">
        <f t="shared" si="0"/>
        <v>7232</v>
      </c>
    </row>
    <row r="31" spans="1:7" s="264" customFormat="1" x14ac:dyDescent="0.25">
      <c r="A31" s="258">
        <v>690056</v>
      </c>
      <c r="B31" s="260" t="str">
        <f>VLOOKUP(A31,'Tabela de Códigos e Valores'!A:AJ,2,FALSE)</f>
        <v>Encarregado(a) 11 ou mais subordinados - diurno - 44 horas semanais</v>
      </c>
      <c r="C31" s="260" t="str">
        <f>VLOOKUP(A31,'Tabela de Códigos e Valores'!$A:$AJ,5,FALSE)</f>
        <v>Posto</v>
      </c>
      <c r="D31" s="261" t="str">
        <f>VLOOKUP(A31,'Tabela de Códigos e Valores'!$A:$AJ,6,FALSE)</f>
        <v>Mensal</v>
      </c>
      <c r="E31" s="262">
        <f>ROUND(VLOOKUP(A31,'Tabela de Códigos e Valores'!$A:$AJ,33,FALSE),2)</f>
        <v>5457.48</v>
      </c>
      <c r="F31" s="263">
        <f>IFERROR(VLOOKUP($B$1,'Centro de Custo - ISS'!$B:$D,3,FALSE),0)</f>
        <v>0.3075</v>
      </c>
      <c r="G31" s="265">
        <f t="shared" si="0"/>
        <v>7135.66</v>
      </c>
    </row>
    <row r="32" spans="1:7" s="264" customFormat="1" x14ac:dyDescent="0.25">
      <c r="A32" s="258">
        <v>690057</v>
      </c>
      <c r="B32" s="260" t="str">
        <f>VLOOKUP(A32,'Tabela de Códigos e Valores'!A:AJ,2,FALSE)</f>
        <v>Encarregado(a) 11 ou mais subordinados - noturno - 44 horas semanais</v>
      </c>
      <c r="C32" s="260" t="str">
        <f>VLOOKUP(A32,'Tabela de Códigos e Valores'!$A:$AJ,5,FALSE)</f>
        <v>Posto</v>
      </c>
      <c r="D32" s="261" t="str">
        <f>VLOOKUP(A32,'Tabela de Códigos e Valores'!$A:$AJ,6,FALSE)</f>
        <v>Mensal</v>
      </c>
      <c r="E32" s="262">
        <f>ROUND(VLOOKUP(A32,'Tabela de Códigos e Valores'!$A:$AJ,33,FALSE),2)</f>
        <v>6424.06</v>
      </c>
      <c r="F32" s="263">
        <f>IFERROR(VLOOKUP($B$1,'Centro de Custo - ISS'!$B:$D,3,FALSE),0)</f>
        <v>0.3075</v>
      </c>
      <c r="G32" s="265">
        <f t="shared" si="0"/>
        <v>8399.4599999999991</v>
      </c>
    </row>
    <row r="33" spans="1:7" s="264" customFormat="1" ht="31.5" x14ac:dyDescent="0.25">
      <c r="A33" s="258">
        <v>690058</v>
      </c>
      <c r="B33" s="260" t="str">
        <f>VLOOKUP(A33,'Tabela de Códigos e Valores'!A:AJ,2,FALSE)</f>
        <v>Serviço de limpeza - plantonista - (Agente de Higienização - 40%) - sábado - 8 horas/dia</v>
      </c>
      <c r="C33" s="260" t="str">
        <f>VLOOKUP(A33,'Tabela de Códigos e Valores'!$A:$AJ,5,FALSE)</f>
        <v>Plantão - Sábado</v>
      </c>
      <c r="D33" s="261" t="str">
        <f>VLOOKUP(A33,'Tabela de Códigos e Valores'!$A:$AJ,6,FALSE)</f>
        <v>Mensal</v>
      </c>
      <c r="E33" s="262">
        <f>ROUND(VLOOKUP(A33,'Tabela de Códigos e Valores'!$A:$AJ,33,FALSE),2)</f>
        <v>1279.75</v>
      </c>
      <c r="F33" s="263">
        <f>IFERROR(VLOOKUP($B$1,'Centro de Custo - ISS'!$B:$D,3,FALSE),0)</f>
        <v>0.3075</v>
      </c>
      <c r="G33" s="265">
        <f t="shared" ref="G33:G34" si="1">ROUND(E33*(1+F33),2)</f>
        <v>1673.27</v>
      </c>
    </row>
    <row r="34" spans="1:7" s="264" customFormat="1" ht="31.5" x14ac:dyDescent="0.25">
      <c r="A34" s="258">
        <v>690059</v>
      </c>
      <c r="B34" s="260" t="str">
        <f>VLOOKUP(A34,'Tabela de Códigos e Valores'!A:AJ,2,FALSE)</f>
        <v>Serviço de limpeza - plantonista - (Agente de Higienização - 40%) - domingos e feriados - 8 horas/dia</v>
      </c>
      <c r="C34" s="260" t="str">
        <f>VLOOKUP(A34,'Tabela de Códigos e Valores'!$A:$AJ,5,FALSE)</f>
        <v>Plantão - Dom/Fer</v>
      </c>
      <c r="D34" s="261" t="str">
        <f>VLOOKUP(A34,'Tabela de Códigos e Valores'!$A:$AJ,6,FALSE)</f>
        <v>Mensal</v>
      </c>
      <c r="E34" s="262">
        <f>ROUND(VLOOKUP(A34,'Tabela de Códigos e Valores'!$A:$AJ,33,FALSE),2)</f>
        <v>1986.42</v>
      </c>
      <c r="F34" s="263">
        <f>IFERROR(VLOOKUP($B$1,'Centro de Custo - ISS'!$B:$D,3,FALSE),0)</f>
        <v>0.3075</v>
      </c>
      <c r="G34" s="265">
        <f t="shared" si="1"/>
        <v>2597.2399999999998</v>
      </c>
    </row>
    <row r="35" spans="1:7" s="264" customFormat="1" ht="31.5" x14ac:dyDescent="0.25">
      <c r="A35" s="258">
        <v>690062</v>
      </c>
      <c r="B35" s="260" t="str">
        <f>VLOOKUP(A35,'Tabela de Códigos e Valores'!A:AJ,2,FALSE)</f>
        <v>Agente de Higienização (Tempo Integral) - (40%) - 44 horas semanais - noturno</v>
      </c>
      <c r="C35" s="260" t="str">
        <f>VLOOKUP(A35,'Tabela de Códigos e Valores'!$A:$AJ,5,FALSE)</f>
        <v>Posto</v>
      </c>
      <c r="D35" s="261" t="str">
        <f>VLOOKUP(A35,'Tabela de Códigos e Valores'!$A:$AJ,6,FALSE)</f>
        <v>Mensal</v>
      </c>
      <c r="E35" s="262">
        <f>ROUND(VLOOKUP(A35,'Tabela de Códigos e Valores'!$A:$AJ,33,FALSE),2)</f>
        <v>6637.43</v>
      </c>
      <c r="F35" s="263">
        <f>IFERROR(VLOOKUP($B$1,'Centro de Custo - ISS'!$B:$D,3,FALSE),0)</f>
        <v>0.3075</v>
      </c>
      <c r="G35" s="265">
        <f t="shared" si="0"/>
        <v>8678.44</v>
      </c>
    </row>
    <row r="36" spans="1:7" s="264" customFormat="1" ht="31.5" x14ac:dyDescent="0.25">
      <c r="A36" s="258">
        <v>690063</v>
      </c>
      <c r="B36" s="260" t="str">
        <f>VLOOKUP(A36,'Tabela de Códigos e Valores'!A:AJ,2,FALSE)</f>
        <v xml:space="preserve">Auxiliar de Limpeza, com adicional de acúmulo de função - diurno - 44 horas semanais </v>
      </c>
      <c r="C36" s="260" t="str">
        <f>VLOOKUP(A36,'Tabela de Códigos e Valores'!$A:$AJ,5,FALSE)</f>
        <v>Posto</v>
      </c>
      <c r="D36" s="261" t="str">
        <f>VLOOKUP(A36,'Tabela de Códigos e Valores'!$A:$AJ,6,FALSE)</f>
        <v>Mensal</v>
      </c>
      <c r="E36" s="262">
        <f>ROUND(VLOOKUP(A36,'Tabela de Códigos e Valores'!$A:$AJ,33,FALSE),2)</f>
        <v>5104.4799999999996</v>
      </c>
      <c r="F36" s="263">
        <f>IFERROR(VLOOKUP($B$1,'Centro de Custo - ISS'!$B:$D,3,FALSE),0)</f>
        <v>0.3075</v>
      </c>
      <c r="G36" s="265">
        <f t="shared" si="0"/>
        <v>6674.11</v>
      </c>
    </row>
    <row r="37" spans="1:7" s="264" customFormat="1" ht="31.5" x14ac:dyDescent="0.25">
      <c r="A37" s="258">
        <v>690064</v>
      </c>
      <c r="B37" s="260" t="str">
        <f>VLOOKUP(A37,'Tabela de Códigos e Valores'!A:AJ,2,FALSE)</f>
        <v xml:space="preserve">Auxiliar de Limpeza, com adicional de acúmulo de função - diurno - 24 horas semanais </v>
      </c>
      <c r="C37" s="260" t="str">
        <f>VLOOKUP(A37,'Tabela de Códigos e Valores'!$A:$AJ,5,FALSE)</f>
        <v>Posto</v>
      </c>
      <c r="D37" s="261" t="str">
        <f>VLOOKUP(A37,'Tabela de Códigos e Valores'!$A:$AJ,6,FALSE)</f>
        <v>Mensal</v>
      </c>
      <c r="E37" s="262">
        <f>ROUND(VLOOKUP(A37,'Tabela de Códigos e Valores'!$A:$AJ,33,FALSE),2)</f>
        <v>3022.59</v>
      </c>
      <c r="F37" s="263">
        <f>IFERROR(VLOOKUP($B$1,'Centro de Custo - ISS'!$B:$D,3,FALSE),0)</f>
        <v>0.3075</v>
      </c>
      <c r="G37" s="265">
        <f t="shared" si="0"/>
        <v>3952.04</v>
      </c>
    </row>
    <row r="38" spans="1:7" ht="31.5" x14ac:dyDescent="0.25">
      <c r="A38" s="258">
        <v>690065</v>
      </c>
      <c r="B38" s="260" t="str">
        <f>VLOOKUP(A38,'Tabela de Códigos e Valores'!A:AJ,2,FALSE)</f>
        <v>Serviço de limpeza - plantonista - sábados (8 horas)</v>
      </c>
      <c r="C38" s="260" t="str">
        <f>VLOOKUP(A38,'Tabela de Códigos e Valores'!$A:$AJ,5,FALSE)</f>
        <v>Plantão - Sábado</v>
      </c>
      <c r="D38" s="261" t="str">
        <f>VLOOKUP(A38,'Tabela de Códigos e Valores'!$A:$AJ,6,FALSE)</f>
        <v>Mensal</v>
      </c>
      <c r="E38" s="262">
        <f>ROUND(VLOOKUP(A38,'Tabela de Códigos e Valores'!$A:$AJ,33,FALSE),2)</f>
        <v>984.95</v>
      </c>
      <c r="F38" s="263">
        <f>IFERROR(VLOOKUP($B$1,'Centro de Custo - ISS'!$B:$D,3,FALSE),0)</f>
        <v>0.3075</v>
      </c>
      <c r="G38" s="265">
        <f t="shared" ref="G38:G39" si="2">ROUND(E38*(1+F38),2)</f>
        <v>1287.82</v>
      </c>
    </row>
    <row r="39" spans="1:7" ht="31.5" x14ac:dyDescent="0.25">
      <c r="A39" s="258">
        <v>690066</v>
      </c>
      <c r="B39" s="260" t="str">
        <f>VLOOKUP(A39,'Tabela de Códigos e Valores'!A:AJ,2,FALSE)</f>
        <v>Serviço de limpeza - plantonista - domingos (8 horas)</v>
      </c>
      <c r="C39" s="260" t="str">
        <f>VLOOKUP(A39,'Tabela de Códigos e Valores'!$A:$AJ,5,FALSE)</f>
        <v>Plantão - Dom/Fer</v>
      </c>
      <c r="D39" s="261" t="str">
        <f>VLOOKUP(A39,'Tabela de Códigos e Valores'!$A:$AJ,6,FALSE)</f>
        <v>Mensal</v>
      </c>
      <c r="E39" s="262">
        <f>ROUND(VLOOKUP(A39,'Tabela de Códigos e Valores'!$A:$AJ,33,FALSE),2)</f>
        <v>1262.55</v>
      </c>
      <c r="F39" s="263">
        <f>IFERROR(VLOOKUP($B$1,'Centro de Custo - ISS'!$B:$D,3,FALSE),0)</f>
        <v>0.3075</v>
      </c>
      <c r="G39" s="265">
        <f t="shared" si="2"/>
        <v>1650.78</v>
      </c>
    </row>
  </sheetData>
  <sheetProtection autoFilter="0"/>
  <autoFilter ref="A3:G37" xr:uid="{00000000-0009-0000-0000-000009000000}"/>
  <pageMargins left="0.51181102362204722" right="0.51181102362204722" top="0.78740157480314965" bottom="0.78740157480314965" header="0.31496062992125984" footer="0.31496062992125984"/>
  <pageSetup paperSize="9" scale="85" orientation="landscape" r:id="rId1"/>
  <headerFooter>
    <oddHeader>&amp;C&amp;"-,Negrito"Prestação de Serviços de Limpeza&amp;"-,Regular"Tabela de Custos</oddHeader>
    <oddFooter>&amp;L&amp;9SAAB 5 - Diretoria de Licitações e Suprimentos&amp;R&amp;9&amp;P/&amp;N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'Centro de Custo - ISS'!$B$2:$B$322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780"/>
  <sheetViews>
    <sheetView topLeftCell="A766" workbookViewId="0">
      <selection activeCell="F780" sqref="F780"/>
    </sheetView>
  </sheetViews>
  <sheetFormatPr defaultColWidth="9.140625" defaultRowHeight="15" x14ac:dyDescent="0.25"/>
  <cols>
    <col min="1" max="1" width="35.7109375" style="342" bestFit="1" customWidth="1"/>
    <col min="2" max="2" width="12.85546875" style="342" bestFit="1" customWidth="1"/>
    <col min="3" max="3" width="6.5703125" style="342" bestFit="1" customWidth="1"/>
    <col min="4" max="4" width="28.28515625" style="342" bestFit="1" customWidth="1"/>
    <col min="5" max="5" width="24.7109375" style="342" bestFit="1" customWidth="1"/>
    <col min="6" max="6" width="152.140625" style="342" bestFit="1" customWidth="1"/>
    <col min="7" max="7" width="38" style="342" bestFit="1" customWidth="1"/>
    <col min="8" max="8" width="43.7109375" style="342" bestFit="1" customWidth="1"/>
    <col min="9" max="9" width="23.7109375" style="342" bestFit="1" customWidth="1"/>
    <col min="10" max="10" width="21.85546875" style="342" bestFit="1" customWidth="1"/>
    <col min="11" max="11" width="31.42578125" style="342" bestFit="1" customWidth="1"/>
    <col min="12" max="12" width="42.85546875" style="342" bestFit="1" customWidth="1"/>
    <col min="13" max="13" width="69.5703125" style="342" bestFit="1" customWidth="1"/>
    <col min="14" max="14" width="35.7109375" style="342" bestFit="1" customWidth="1"/>
    <col min="15" max="15" width="203.85546875" style="342" bestFit="1" customWidth="1"/>
    <col min="16" max="16" width="40.140625" style="342" bestFit="1" customWidth="1"/>
    <col min="17" max="17" width="49.7109375" style="342" bestFit="1" customWidth="1"/>
    <col min="18" max="18" width="31.42578125" style="342" bestFit="1" customWidth="1"/>
    <col min="19" max="19" width="51.140625" style="342" bestFit="1" customWidth="1"/>
    <col min="20" max="20" width="31.7109375" style="342" bestFit="1" customWidth="1"/>
    <col min="21" max="21" width="49.28515625" style="342" bestFit="1" customWidth="1"/>
    <col min="22" max="23" width="29" style="342" bestFit="1" customWidth="1"/>
    <col min="24" max="24" width="26.7109375" style="342" bestFit="1" customWidth="1"/>
    <col min="25" max="25" width="28.28515625" style="342" bestFit="1" customWidth="1"/>
    <col min="26" max="26" width="17" style="342" bestFit="1" customWidth="1"/>
    <col min="27" max="27" width="36.5703125" style="342" bestFit="1" customWidth="1"/>
    <col min="28" max="28" width="23" style="342" bestFit="1" customWidth="1"/>
    <col min="29" max="29" width="23.42578125" style="342" bestFit="1" customWidth="1"/>
    <col min="30" max="30" width="28.42578125" style="342" bestFit="1" customWidth="1"/>
    <col min="31" max="31" width="19.85546875" style="342" bestFit="1" customWidth="1"/>
    <col min="32" max="32" width="14.85546875" style="342" bestFit="1" customWidth="1"/>
    <col min="33" max="33" width="23.85546875" style="342" bestFit="1" customWidth="1"/>
    <col min="34" max="34" width="24.42578125" style="342" bestFit="1" customWidth="1"/>
    <col min="35" max="35" width="29.140625" style="342" bestFit="1" customWidth="1"/>
    <col min="36" max="36" width="20.5703125" style="342" bestFit="1" customWidth="1"/>
    <col min="37" max="37" width="15.7109375" style="342" bestFit="1" customWidth="1"/>
    <col min="38" max="38" width="23.7109375" style="342" bestFit="1" customWidth="1"/>
    <col min="39" max="39" width="24.28515625" style="342" bestFit="1" customWidth="1"/>
    <col min="40" max="40" width="28.85546875" style="342" bestFit="1" customWidth="1"/>
    <col min="41" max="41" width="20.42578125" style="342" bestFit="1" customWidth="1"/>
    <col min="42" max="42" width="15" style="342" bestFit="1" customWidth="1"/>
    <col min="43" max="44" width="42.7109375" style="342" bestFit="1" customWidth="1"/>
    <col min="45" max="45" width="37.85546875" style="342" bestFit="1" customWidth="1"/>
    <col min="46" max="46" width="34.5703125" style="342" bestFit="1" customWidth="1"/>
    <col min="47" max="47" width="27.5703125" style="342" bestFit="1" customWidth="1"/>
    <col min="48" max="48" width="21.140625" style="342" bestFit="1" customWidth="1"/>
    <col min="49" max="49" width="33.42578125" style="342" bestFit="1" customWidth="1"/>
    <col min="50" max="50" width="35.140625" style="342" bestFit="1" customWidth="1"/>
    <col min="51" max="51" width="22.85546875" style="342" bestFit="1" customWidth="1"/>
    <col min="52" max="52" width="27.5703125" style="342" bestFit="1" customWidth="1"/>
    <col min="53" max="53" width="19.5703125" style="342" bestFit="1" customWidth="1"/>
    <col min="54" max="54" width="38.7109375" style="342" bestFit="1" customWidth="1"/>
    <col min="55" max="55" width="42.140625" style="342" bestFit="1" customWidth="1"/>
    <col min="56" max="56" width="30.42578125" style="342" bestFit="1" customWidth="1"/>
    <col min="57" max="57" width="18.42578125" style="342" bestFit="1" customWidth="1"/>
    <col min="58" max="59" width="64.85546875" style="342" bestFit="1" customWidth="1"/>
    <col min="60" max="60" width="27.85546875" style="342" bestFit="1" customWidth="1"/>
    <col min="61" max="61" width="47.85546875" style="342" bestFit="1" customWidth="1"/>
    <col min="62" max="62" width="46.42578125" style="342" bestFit="1" customWidth="1"/>
    <col min="63" max="63" width="49.85546875" style="342" bestFit="1" customWidth="1"/>
    <col min="64" max="64" width="51.140625" style="342" bestFit="1" customWidth="1"/>
    <col min="65" max="65" width="37.28515625" style="342" bestFit="1" customWidth="1"/>
    <col min="66" max="16384" width="9.140625" style="342"/>
  </cols>
  <sheetData>
    <row r="1" spans="1:8" x14ac:dyDescent="0.25">
      <c r="A1" s="341" t="s">
        <v>685</v>
      </c>
      <c r="B1" s="341" t="s">
        <v>686</v>
      </c>
      <c r="C1" s="341" t="s">
        <v>687</v>
      </c>
      <c r="D1" s="341" t="s">
        <v>688</v>
      </c>
      <c r="E1" s="341" t="s">
        <v>161</v>
      </c>
      <c r="F1" s="341" t="s">
        <v>689</v>
      </c>
      <c r="G1" s="341" t="s">
        <v>690</v>
      </c>
      <c r="H1" s="341" t="s">
        <v>691</v>
      </c>
    </row>
    <row r="2" spans="1:8" x14ac:dyDescent="0.25">
      <c r="A2" s="343">
        <v>616</v>
      </c>
      <c r="B2" s="343">
        <v>64187</v>
      </c>
      <c r="C2" s="342" t="s">
        <v>692</v>
      </c>
      <c r="D2" s="342" t="s">
        <v>693</v>
      </c>
      <c r="E2" s="342" t="s">
        <v>643</v>
      </c>
      <c r="F2" s="342" t="s">
        <v>694</v>
      </c>
      <c r="G2" s="342" t="s">
        <v>695</v>
      </c>
      <c r="H2" s="342" t="s">
        <v>696</v>
      </c>
    </row>
    <row r="3" spans="1:8" x14ac:dyDescent="0.25">
      <c r="A3" s="343">
        <v>921</v>
      </c>
      <c r="B3" s="343">
        <v>66203</v>
      </c>
      <c r="C3" s="342" t="s">
        <v>697</v>
      </c>
      <c r="D3" s="342" t="s">
        <v>698</v>
      </c>
      <c r="E3" s="342" t="s">
        <v>599</v>
      </c>
      <c r="F3" s="342" t="s">
        <v>699</v>
      </c>
      <c r="G3" s="342" t="s">
        <v>695</v>
      </c>
      <c r="H3" s="342" t="s">
        <v>700</v>
      </c>
    </row>
    <row r="4" spans="1:8" x14ac:dyDescent="0.25">
      <c r="A4" s="343">
        <v>147</v>
      </c>
      <c r="B4" s="343">
        <v>46720</v>
      </c>
      <c r="C4" s="342" t="s">
        <v>701</v>
      </c>
      <c r="D4" s="342" t="s">
        <v>702</v>
      </c>
      <c r="E4" s="342" t="s">
        <v>511</v>
      </c>
      <c r="F4" s="342" t="s">
        <v>703</v>
      </c>
      <c r="G4" s="342" t="s">
        <v>695</v>
      </c>
      <c r="H4" s="342" t="s">
        <v>696</v>
      </c>
    </row>
    <row r="5" spans="1:8" x14ac:dyDescent="0.25">
      <c r="A5" s="343">
        <v>475</v>
      </c>
      <c r="B5" s="343">
        <v>63981</v>
      </c>
      <c r="C5" s="342" t="s">
        <v>701</v>
      </c>
      <c r="D5" s="342" t="s">
        <v>702</v>
      </c>
      <c r="E5" s="342" t="s">
        <v>511</v>
      </c>
      <c r="F5" s="342" t="s">
        <v>704</v>
      </c>
      <c r="G5" s="342" t="s">
        <v>695</v>
      </c>
      <c r="H5" s="342" t="s">
        <v>705</v>
      </c>
    </row>
    <row r="6" spans="1:8" x14ac:dyDescent="0.25">
      <c r="A6" s="343">
        <v>83</v>
      </c>
      <c r="B6" s="343">
        <v>48901</v>
      </c>
      <c r="C6" s="342" t="s">
        <v>706</v>
      </c>
      <c r="D6" s="342" t="s">
        <v>707</v>
      </c>
      <c r="E6" s="342" t="s">
        <v>446</v>
      </c>
      <c r="F6" s="342" t="s">
        <v>708</v>
      </c>
      <c r="G6" s="342" t="s">
        <v>695</v>
      </c>
      <c r="H6" s="342" t="s">
        <v>696</v>
      </c>
    </row>
    <row r="7" spans="1:8" x14ac:dyDescent="0.25">
      <c r="A7" s="343">
        <v>833</v>
      </c>
      <c r="B7" s="343">
        <v>64120</v>
      </c>
      <c r="C7" s="342" t="s">
        <v>706</v>
      </c>
      <c r="D7" s="342" t="s">
        <v>707</v>
      </c>
      <c r="E7" s="342" t="s">
        <v>446</v>
      </c>
      <c r="F7" s="342" t="s">
        <v>709</v>
      </c>
      <c r="G7" s="342" t="s">
        <v>695</v>
      </c>
      <c r="H7" s="342" t="s">
        <v>710</v>
      </c>
    </row>
    <row r="8" spans="1:8" x14ac:dyDescent="0.25">
      <c r="A8" s="343">
        <v>53</v>
      </c>
      <c r="B8" s="343">
        <v>227</v>
      </c>
      <c r="C8" s="342" t="s">
        <v>701</v>
      </c>
      <c r="D8" s="342" t="s">
        <v>711</v>
      </c>
      <c r="E8" s="342" t="s">
        <v>414</v>
      </c>
      <c r="F8" s="342" t="s">
        <v>712</v>
      </c>
      <c r="G8" s="342" t="s">
        <v>695</v>
      </c>
      <c r="H8" s="342" t="s">
        <v>696</v>
      </c>
    </row>
    <row r="9" spans="1:8" x14ac:dyDescent="0.25">
      <c r="A9" s="343">
        <v>60</v>
      </c>
      <c r="B9" s="343">
        <v>47882</v>
      </c>
      <c r="C9" s="342" t="s">
        <v>701</v>
      </c>
      <c r="D9" s="342" t="s">
        <v>711</v>
      </c>
      <c r="E9" s="342" t="s">
        <v>421</v>
      </c>
      <c r="F9" s="342" t="s">
        <v>713</v>
      </c>
      <c r="G9" s="342" t="s">
        <v>695</v>
      </c>
      <c r="H9" s="342" t="s">
        <v>696</v>
      </c>
    </row>
    <row r="10" spans="1:8" x14ac:dyDescent="0.25">
      <c r="A10" s="343">
        <v>192</v>
      </c>
      <c r="B10" s="343">
        <v>302</v>
      </c>
      <c r="C10" s="342" t="s">
        <v>697</v>
      </c>
      <c r="D10" s="342" t="s">
        <v>714</v>
      </c>
      <c r="E10" s="342" t="s">
        <v>558</v>
      </c>
      <c r="F10" s="342" t="s">
        <v>715</v>
      </c>
      <c r="G10" s="342" t="s">
        <v>695</v>
      </c>
      <c r="H10" s="342" t="s">
        <v>696</v>
      </c>
    </row>
    <row r="11" spans="1:8" x14ac:dyDescent="0.25">
      <c r="A11" s="343">
        <v>349</v>
      </c>
      <c r="B11" s="343">
        <v>64218</v>
      </c>
      <c r="C11" s="342" t="s">
        <v>692</v>
      </c>
      <c r="D11" s="342" t="s">
        <v>693</v>
      </c>
      <c r="E11" s="342" t="s">
        <v>643</v>
      </c>
      <c r="F11" s="342" t="s">
        <v>716</v>
      </c>
      <c r="G11" s="342" t="s">
        <v>695</v>
      </c>
      <c r="H11" s="342" t="s">
        <v>696</v>
      </c>
    </row>
    <row r="12" spans="1:8" x14ac:dyDescent="0.25">
      <c r="A12" s="343">
        <v>217</v>
      </c>
      <c r="B12" s="343">
        <v>48956</v>
      </c>
      <c r="C12" s="342" t="s">
        <v>701</v>
      </c>
      <c r="D12" s="342" t="s">
        <v>702</v>
      </c>
      <c r="E12" s="342" t="s">
        <v>585</v>
      </c>
      <c r="F12" s="342" t="s">
        <v>717</v>
      </c>
      <c r="G12" s="342" t="s">
        <v>695</v>
      </c>
      <c r="H12" s="342" t="s">
        <v>696</v>
      </c>
    </row>
    <row r="13" spans="1:8" x14ac:dyDescent="0.25">
      <c r="A13" s="343">
        <v>283</v>
      </c>
      <c r="B13" s="343">
        <v>49668</v>
      </c>
      <c r="C13" s="342" t="s">
        <v>701</v>
      </c>
      <c r="D13" s="342" t="s">
        <v>718</v>
      </c>
      <c r="E13" s="342" t="s">
        <v>653</v>
      </c>
      <c r="F13" s="342" t="s">
        <v>719</v>
      </c>
      <c r="G13" s="342" t="s">
        <v>695</v>
      </c>
      <c r="H13" s="342" t="s">
        <v>696</v>
      </c>
    </row>
    <row r="14" spans="1:8" x14ac:dyDescent="0.25">
      <c r="A14" s="343">
        <v>772</v>
      </c>
      <c r="B14" s="343">
        <v>46861</v>
      </c>
      <c r="C14" s="342" t="s">
        <v>706</v>
      </c>
      <c r="D14" s="342" t="s">
        <v>720</v>
      </c>
      <c r="E14" s="342" t="s">
        <v>506</v>
      </c>
      <c r="F14" s="342" t="s">
        <v>721</v>
      </c>
      <c r="G14" s="342" t="s">
        <v>695</v>
      </c>
      <c r="H14" s="342" t="s">
        <v>696</v>
      </c>
    </row>
    <row r="15" spans="1:8" x14ac:dyDescent="0.25">
      <c r="A15" s="343">
        <v>849</v>
      </c>
      <c r="B15" s="343">
        <v>66185</v>
      </c>
      <c r="C15" s="342" t="s">
        <v>692</v>
      </c>
      <c r="D15" s="342" t="s">
        <v>722</v>
      </c>
      <c r="E15" s="342" t="s">
        <v>383</v>
      </c>
      <c r="F15" s="342" t="s">
        <v>723</v>
      </c>
      <c r="G15" s="342" t="s">
        <v>695</v>
      </c>
      <c r="H15" s="342" t="s">
        <v>696</v>
      </c>
    </row>
    <row r="16" spans="1:8" x14ac:dyDescent="0.25">
      <c r="A16" s="343">
        <v>927</v>
      </c>
      <c r="B16" s="343">
        <v>66534</v>
      </c>
      <c r="C16" s="342" t="s">
        <v>701</v>
      </c>
      <c r="D16" s="342" t="s">
        <v>724</v>
      </c>
      <c r="E16" s="342" t="s">
        <v>504</v>
      </c>
      <c r="F16" s="342" t="s">
        <v>725</v>
      </c>
      <c r="G16" s="342" t="s">
        <v>695</v>
      </c>
      <c r="H16" s="342" t="s">
        <v>726</v>
      </c>
    </row>
    <row r="17" spans="1:8" x14ac:dyDescent="0.25">
      <c r="A17" s="343">
        <v>45</v>
      </c>
      <c r="B17" s="343">
        <v>63853</v>
      </c>
      <c r="C17" s="342" t="s">
        <v>701</v>
      </c>
      <c r="D17" s="342" t="s">
        <v>727</v>
      </c>
      <c r="E17" s="342" t="s">
        <v>406</v>
      </c>
      <c r="F17" s="342" t="s">
        <v>728</v>
      </c>
      <c r="G17" s="342" t="s">
        <v>695</v>
      </c>
      <c r="H17" s="342" t="s">
        <v>696</v>
      </c>
    </row>
    <row r="18" spans="1:8" x14ac:dyDescent="0.25">
      <c r="A18" s="343">
        <v>80</v>
      </c>
      <c r="B18" s="343">
        <v>53853</v>
      </c>
      <c r="C18" s="342" t="s">
        <v>701</v>
      </c>
      <c r="D18" s="342" t="s">
        <v>729</v>
      </c>
      <c r="E18" s="342" t="s">
        <v>443</v>
      </c>
      <c r="F18" s="342" t="s">
        <v>730</v>
      </c>
      <c r="G18" s="342" t="s">
        <v>695</v>
      </c>
      <c r="H18" s="342" t="s">
        <v>696</v>
      </c>
    </row>
    <row r="19" spans="1:8" x14ac:dyDescent="0.25">
      <c r="A19" s="343">
        <v>212</v>
      </c>
      <c r="B19" s="343">
        <v>305</v>
      </c>
      <c r="C19" s="342" t="s">
        <v>701</v>
      </c>
      <c r="D19" s="342" t="s">
        <v>724</v>
      </c>
      <c r="E19" s="342" t="s">
        <v>579</v>
      </c>
      <c r="F19" s="342" t="s">
        <v>731</v>
      </c>
      <c r="G19" s="342" t="s">
        <v>695</v>
      </c>
      <c r="H19" s="342" t="s">
        <v>696</v>
      </c>
    </row>
    <row r="20" spans="1:8" x14ac:dyDescent="0.25">
      <c r="A20" s="343">
        <v>308</v>
      </c>
      <c r="B20" s="343">
        <v>64177</v>
      </c>
      <c r="C20" s="342" t="s">
        <v>701</v>
      </c>
      <c r="D20" s="342" t="s">
        <v>727</v>
      </c>
      <c r="E20" s="342" t="s">
        <v>677</v>
      </c>
      <c r="F20" s="342" t="s">
        <v>732</v>
      </c>
      <c r="G20" s="342" t="s">
        <v>695</v>
      </c>
      <c r="H20" s="342" t="s">
        <v>696</v>
      </c>
    </row>
    <row r="21" spans="1:8" x14ac:dyDescent="0.25">
      <c r="A21" s="343">
        <v>402</v>
      </c>
      <c r="B21" s="343">
        <v>63837</v>
      </c>
      <c r="C21" s="342" t="s">
        <v>701</v>
      </c>
      <c r="D21" s="342" t="s">
        <v>724</v>
      </c>
      <c r="E21" s="342" t="s">
        <v>395</v>
      </c>
      <c r="F21" s="342" t="s">
        <v>733</v>
      </c>
      <c r="G21" s="342" t="s">
        <v>695</v>
      </c>
      <c r="H21" s="342" t="s">
        <v>734</v>
      </c>
    </row>
    <row r="22" spans="1:8" x14ac:dyDescent="0.25">
      <c r="A22" s="343">
        <v>610</v>
      </c>
      <c r="B22" s="343">
        <v>63952</v>
      </c>
      <c r="C22" s="342" t="s">
        <v>701</v>
      </c>
      <c r="D22" s="342" t="s">
        <v>718</v>
      </c>
      <c r="E22" s="342" t="s">
        <v>500</v>
      </c>
      <c r="F22" s="342" t="s">
        <v>735</v>
      </c>
      <c r="G22" s="342" t="s">
        <v>695</v>
      </c>
      <c r="H22" s="342" t="s">
        <v>705</v>
      </c>
    </row>
    <row r="23" spans="1:8" x14ac:dyDescent="0.25">
      <c r="A23" s="343">
        <v>670</v>
      </c>
      <c r="B23" s="343">
        <v>64178</v>
      </c>
      <c r="C23" s="342" t="s">
        <v>701</v>
      </c>
      <c r="D23" s="342" t="s">
        <v>727</v>
      </c>
      <c r="E23" s="342" t="s">
        <v>677</v>
      </c>
      <c r="F23" s="342" t="s">
        <v>736</v>
      </c>
      <c r="G23" s="342" t="s">
        <v>737</v>
      </c>
      <c r="H23" s="342" t="s">
        <v>738</v>
      </c>
    </row>
    <row r="24" spans="1:8" x14ac:dyDescent="0.25">
      <c r="A24" s="343">
        <v>8</v>
      </c>
      <c r="B24" s="343">
        <v>287</v>
      </c>
      <c r="C24" s="342" t="s">
        <v>701</v>
      </c>
      <c r="D24" s="342" t="s">
        <v>718</v>
      </c>
      <c r="E24" s="342" t="s">
        <v>360</v>
      </c>
      <c r="F24" s="342" t="s">
        <v>739</v>
      </c>
      <c r="G24" s="342" t="s">
        <v>695</v>
      </c>
      <c r="H24" s="342" t="s">
        <v>696</v>
      </c>
    </row>
    <row r="25" spans="1:8" x14ac:dyDescent="0.25">
      <c r="A25" s="343">
        <v>208</v>
      </c>
      <c r="B25" s="343">
        <v>33569</v>
      </c>
      <c r="C25" s="342" t="s">
        <v>740</v>
      </c>
      <c r="D25" s="342" t="s">
        <v>741</v>
      </c>
      <c r="E25" s="342" t="s">
        <v>575</v>
      </c>
      <c r="F25" s="342" t="s">
        <v>742</v>
      </c>
      <c r="G25" s="342" t="s">
        <v>695</v>
      </c>
      <c r="H25" s="342" t="s">
        <v>696</v>
      </c>
    </row>
    <row r="26" spans="1:8" x14ac:dyDescent="0.25">
      <c r="A26" s="343">
        <v>213</v>
      </c>
      <c r="B26" s="343">
        <v>55701</v>
      </c>
      <c r="C26" s="342" t="s">
        <v>701</v>
      </c>
      <c r="D26" s="342" t="s">
        <v>711</v>
      </c>
      <c r="E26" s="342" t="s">
        <v>580</v>
      </c>
      <c r="F26" s="342" t="s">
        <v>743</v>
      </c>
      <c r="G26" s="342" t="s">
        <v>695</v>
      </c>
      <c r="H26" s="342" t="s">
        <v>696</v>
      </c>
    </row>
    <row r="27" spans="1:8" x14ac:dyDescent="0.25">
      <c r="A27" s="343">
        <v>365</v>
      </c>
      <c r="B27" s="343">
        <v>1348</v>
      </c>
      <c r="C27" s="342" t="s">
        <v>701</v>
      </c>
      <c r="D27" s="342" t="s">
        <v>744</v>
      </c>
      <c r="E27" s="342" t="s">
        <v>371</v>
      </c>
      <c r="F27" s="342" t="s">
        <v>745</v>
      </c>
      <c r="G27" s="342" t="s">
        <v>695</v>
      </c>
      <c r="H27" s="342" t="s">
        <v>696</v>
      </c>
    </row>
    <row r="28" spans="1:8" x14ac:dyDescent="0.25">
      <c r="A28" s="343">
        <v>604</v>
      </c>
      <c r="B28" s="343">
        <v>64723</v>
      </c>
      <c r="C28" s="342" t="s">
        <v>740</v>
      </c>
      <c r="D28" s="342" t="s">
        <v>741</v>
      </c>
      <c r="E28" s="342" t="s">
        <v>575</v>
      </c>
      <c r="F28" s="342" t="s">
        <v>746</v>
      </c>
      <c r="G28" s="342" t="s">
        <v>695</v>
      </c>
      <c r="H28" s="342" t="s">
        <v>705</v>
      </c>
    </row>
    <row r="29" spans="1:8" x14ac:dyDescent="0.25">
      <c r="A29" s="343">
        <v>778</v>
      </c>
      <c r="B29" s="343">
        <v>14</v>
      </c>
      <c r="C29" s="342" t="s">
        <v>701</v>
      </c>
      <c r="D29" s="342" t="s">
        <v>711</v>
      </c>
      <c r="E29" s="342" t="s">
        <v>666</v>
      </c>
      <c r="F29" s="342" t="s">
        <v>747</v>
      </c>
      <c r="G29" s="342" t="s">
        <v>695</v>
      </c>
      <c r="H29" s="342" t="s">
        <v>748</v>
      </c>
    </row>
    <row r="30" spans="1:8" x14ac:dyDescent="0.25">
      <c r="A30" s="343">
        <v>199</v>
      </c>
      <c r="B30" s="343">
        <v>64189</v>
      </c>
      <c r="C30" s="342" t="s">
        <v>701</v>
      </c>
      <c r="D30" s="342" t="s">
        <v>749</v>
      </c>
      <c r="E30" s="342" t="s">
        <v>565</v>
      </c>
      <c r="F30" s="342" t="s">
        <v>750</v>
      </c>
      <c r="G30" s="342" t="s">
        <v>695</v>
      </c>
      <c r="H30" s="342" t="s">
        <v>696</v>
      </c>
    </row>
    <row r="31" spans="1:8" x14ac:dyDescent="0.25">
      <c r="A31" s="343">
        <v>346</v>
      </c>
      <c r="B31" s="343">
        <v>31</v>
      </c>
      <c r="C31" s="342" t="s">
        <v>701</v>
      </c>
      <c r="D31" s="342" t="s">
        <v>718</v>
      </c>
      <c r="E31" s="342" t="s">
        <v>360</v>
      </c>
      <c r="F31" s="342" t="s">
        <v>751</v>
      </c>
      <c r="G31" s="342" t="s">
        <v>695</v>
      </c>
      <c r="H31" s="342" t="s">
        <v>734</v>
      </c>
    </row>
    <row r="32" spans="1:8" x14ac:dyDescent="0.25">
      <c r="A32" s="343">
        <v>414</v>
      </c>
      <c r="B32" s="343">
        <v>63812</v>
      </c>
      <c r="C32" s="342" t="s">
        <v>701</v>
      </c>
      <c r="D32" s="342" t="s">
        <v>744</v>
      </c>
      <c r="E32" s="342" t="s">
        <v>534</v>
      </c>
      <c r="F32" s="342" t="s">
        <v>752</v>
      </c>
      <c r="G32" s="342" t="s">
        <v>695</v>
      </c>
      <c r="H32" s="342" t="s">
        <v>734</v>
      </c>
    </row>
    <row r="33" spans="1:8" x14ac:dyDescent="0.25">
      <c r="A33" s="343">
        <v>653</v>
      </c>
      <c r="B33" s="343">
        <v>45917</v>
      </c>
      <c r="C33" s="342" t="s">
        <v>701</v>
      </c>
      <c r="D33" s="342" t="s">
        <v>744</v>
      </c>
      <c r="E33" s="342" t="s">
        <v>534</v>
      </c>
      <c r="F33" s="342" t="s">
        <v>753</v>
      </c>
      <c r="G33" s="342" t="s">
        <v>695</v>
      </c>
      <c r="H33" s="342" t="s">
        <v>726</v>
      </c>
    </row>
    <row r="34" spans="1:8" x14ac:dyDescent="0.25">
      <c r="A34" s="343">
        <v>779</v>
      </c>
      <c r="B34" s="343">
        <v>64084</v>
      </c>
      <c r="C34" s="342" t="s">
        <v>701</v>
      </c>
      <c r="D34" s="342" t="s">
        <v>744</v>
      </c>
      <c r="E34" s="342" t="s">
        <v>534</v>
      </c>
      <c r="F34" s="342" t="s">
        <v>754</v>
      </c>
      <c r="G34" s="342" t="s">
        <v>695</v>
      </c>
      <c r="H34" s="342" t="s">
        <v>710</v>
      </c>
    </row>
    <row r="35" spans="1:8" x14ac:dyDescent="0.25">
      <c r="A35" s="343">
        <v>822</v>
      </c>
      <c r="B35" s="343">
        <v>63891</v>
      </c>
      <c r="C35" s="342" t="s">
        <v>701</v>
      </c>
      <c r="D35" s="342" t="s">
        <v>727</v>
      </c>
      <c r="E35" s="342" t="s">
        <v>450</v>
      </c>
      <c r="F35" s="342" t="s">
        <v>755</v>
      </c>
      <c r="G35" s="342" t="s">
        <v>695</v>
      </c>
      <c r="H35" s="342" t="s">
        <v>700</v>
      </c>
    </row>
    <row r="36" spans="1:8" x14ac:dyDescent="0.25">
      <c r="A36" s="343">
        <v>44</v>
      </c>
      <c r="B36" s="343">
        <v>48933</v>
      </c>
      <c r="C36" s="342" t="s">
        <v>701</v>
      </c>
      <c r="D36" s="342" t="s">
        <v>727</v>
      </c>
      <c r="E36" s="342" t="s">
        <v>405</v>
      </c>
      <c r="F36" s="342" t="s">
        <v>756</v>
      </c>
      <c r="G36" s="342" t="s">
        <v>695</v>
      </c>
      <c r="H36" s="342" t="s">
        <v>696</v>
      </c>
    </row>
    <row r="37" spans="1:8" x14ac:dyDescent="0.25">
      <c r="A37" s="343">
        <v>49</v>
      </c>
      <c r="B37" s="343">
        <v>48911</v>
      </c>
      <c r="C37" s="342" t="s">
        <v>701</v>
      </c>
      <c r="D37" s="342" t="s">
        <v>727</v>
      </c>
      <c r="E37" s="342" t="s">
        <v>409</v>
      </c>
      <c r="F37" s="342" t="s">
        <v>757</v>
      </c>
      <c r="G37" s="342" t="s">
        <v>695</v>
      </c>
      <c r="H37" s="342" t="s">
        <v>696</v>
      </c>
    </row>
    <row r="38" spans="1:8" x14ac:dyDescent="0.25">
      <c r="A38" s="343">
        <v>242</v>
      </c>
      <c r="B38" s="343">
        <v>213</v>
      </c>
      <c r="C38" s="342" t="s">
        <v>701</v>
      </c>
      <c r="D38" s="342" t="s">
        <v>711</v>
      </c>
      <c r="E38" s="342" t="s">
        <v>611</v>
      </c>
      <c r="F38" s="342" t="s">
        <v>758</v>
      </c>
      <c r="G38" s="342" t="s">
        <v>695</v>
      </c>
      <c r="H38" s="342" t="s">
        <v>696</v>
      </c>
    </row>
    <row r="39" spans="1:8" x14ac:dyDescent="0.25">
      <c r="A39" s="343">
        <v>304</v>
      </c>
      <c r="B39" s="343">
        <v>48516</v>
      </c>
      <c r="C39" s="342" t="s">
        <v>701</v>
      </c>
      <c r="D39" s="342" t="s">
        <v>749</v>
      </c>
      <c r="E39" s="342" t="s">
        <v>673</v>
      </c>
      <c r="F39" s="342" t="s">
        <v>759</v>
      </c>
      <c r="G39" s="342" t="s">
        <v>695</v>
      </c>
      <c r="H39" s="342" t="s">
        <v>696</v>
      </c>
    </row>
    <row r="40" spans="1:8" x14ac:dyDescent="0.25">
      <c r="A40" s="343">
        <v>361</v>
      </c>
      <c r="B40" s="343">
        <v>64016</v>
      </c>
      <c r="C40" s="342" t="s">
        <v>701</v>
      </c>
      <c r="D40" s="342" t="s">
        <v>724</v>
      </c>
      <c r="E40" s="342" t="s">
        <v>542</v>
      </c>
      <c r="F40" s="342" t="s">
        <v>760</v>
      </c>
      <c r="G40" s="342" t="s">
        <v>695</v>
      </c>
      <c r="H40" s="342" t="s">
        <v>696</v>
      </c>
    </row>
    <row r="41" spans="1:8" x14ac:dyDescent="0.25">
      <c r="A41" s="343">
        <v>642</v>
      </c>
      <c r="B41" s="343">
        <v>64133</v>
      </c>
      <c r="C41" s="342" t="s">
        <v>701</v>
      </c>
      <c r="D41" s="342" t="s">
        <v>727</v>
      </c>
      <c r="E41" s="342" t="s">
        <v>405</v>
      </c>
      <c r="F41" s="342" t="s">
        <v>761</v>
      </c>
      <c r="G41" s="342" t="s">
        <v>695</v>
      </c>
      <c r="H41" s="342" t="s">
        <v>734</v>
      </c>
    </row>
    <row r="42" spans="1:8" x14ac:dyDescent="0.25">
      <c r="A42" s="343">
        <v>745</v>
      </c>
      <c r="B42" s="343">
        <v>63858</v>
      </c>
      <c r="C42" s="342" t="s">
        <v>701</v>
      </c>
      <c r="D42" s="342" t="s">
        <v>727</v>
      </c>
      <c r="E42" s="342" t="s">
        <v>409</v>
      </c>
      <c r="F42" s="342" t="s">
        <v>762</v>
      </c>
      <c r="G42" s="342" t="s">
        <v>695</v>
      </c>
      <c r="H42" s="342" t="s">
        <v>726</v>
      </c>
    </row>
    <row r="43" spans="1:8" x14ac:dyDescent="0.25">
      <c r="A43" s="343">
        <v>101</v>
      </c>
      <c r="B43" s="343">
        <v>51880</v>
      </c>
      <c r="C43" s="342" t="s">
        <v>701</v>
      </c>
      <c r="D43" s="342" t="s">
        <v>763</v>
      </c>
      <c r="E43" s="342" t="s">
        <v>464</v>
      </c>
      <c r="F43" s="342" t="s">
        <v>764</v>
      </c>
      <c r="G43" s="342" t="s">
        <v>695</v>
      </c>
      <c r="H43" s="342" t="s">
        <v>696</v>
      </c>
    </row>
    <row r="44" spans="1:8" x14ac:dyDescent="0.25">
      <c r="A44" s="343">
        <v>10</v>
      </c>
      <c r="B44" s="343">
        <v>212</v>
      </c>
      <c r="C44" s="342" t="s">
        <v>740</v>
      </c>
      <c r="D44" s="342" t="s">
        <v>765</v>
      </c>
      <c r="E44" s="342" t="s">
        <v>364</v>
      </c>
      <c r="F44" s="342" t="s">
        <v>766</v>
      </c>
      <c r="G44" s="342" t="s">
        <v>695</v>
      </c>
      <c r="H44" s="342" t="s">
        <v>696</v>
      </c>
    </row>
    <row r="45" spans="1:8" x14ac:dyDescent="0.25">
      <c r="A45" s="343">
        <v>33</v>
      </c>
      <c r="B45" s="343">
        <v>48900</v>
      </c>
      <c r="C45" s="342" t="s">
        <v>767</v>
      </c>
      <c r="D45" s="342" t="s">
        <v>768</v>
      </c>
      <c r="E45" s="342" t="s">
        <v>393</v>
      </c>
      <c r="F45" s="342" t="s">
        <v>769</v>
      </c>
      <c r="G45" s="342" t="s">
        <v>695</v>
      </c>
      <c r="H45" s="342" t="s">
        <v>696</v>
      </c>
    </row>
    <row r="46" spans="1:8" x14ac:dyDescent="0.25">
      <c r="A46" s="343">
        <v>72</v>
      </c>
      <c r="B46" s="343">
        <v>48897</v>
      </c>
      <c r="C46" s="342" t="s">
        <v>767</v>
      </c>
      <c r="D46" s="342" t="s">
        <v>770</v>
      </c>
      <c r="E46" s="342" t="s">
        <v>435</v>
      </c>
      <c r="F46" s="342" t="s">
        <v>771</v>
      </c>
      <c r="G46" s="342" t="s">
        <v>695</v>
      </c>
      <c r="H46" s="342" t="s">
        <v>696</v>
      </c>
    </row>
    <row r="47" spans="1:8" x14ac:dyDescent="0.25">
      <c r="A47" s="343">
        <v>75</v>
      </c>
      <c r="B47" s="343">
        <v>47015</v>
      </c>
      <c r="C47" s="342" t="s">
        <v>697</v>
      </c>
      <c r="D47" s="342" t="s">
        <v>772</v>
      </c>
      <c r="E47" s="342" t="s">
        <v>438</v>
      </c>
      <c r="F47" s="342" t="s">
        <v>773</v>
      </c>
      <c r="G47" s="342" t="s">
        <v>695</v>
      </c>
      <c r="H47" s="342" t="s">
        <v>696</v>
      </c>
    </row>
    <row r="48" spans="1:8" x14ac:dyDescent="0.25">
      <c r="A48" s="343">
        <v>88</v>
      </c>
      <c r="B48" s="343">
        <v>63810</v>
      </c>
      <c r="C48" s="342" t="s">
        <v>697</v>
      </c>
      <c r="D48" s="342" t="s">
        <v>774</v>
      </c>
      <c r="E48" s="342" t="s">
        <v>452</v>
      </c>
      <c r="F48" s="342" t="s">
        <v>775</v>
      </c>
      <c r="G48" s="342" t="s">
        <v>695</v>
      </c>
      <c r="H48" s="342" t="s">
        <v>696</v>
      </c>
    </row>
    <row r="49" spans="1:8" x14ac:dyDescent="0.25">
      <c r="A49" s="343">
        <v>90</v>
      </c>
      <c r="B49" s="343">
        <v>48654</v>
      </c>
      <c r="C49" s="342" t="s">
        <v>706</v>
      </c>
      <c r="D49" s="342" t="s">
        <v>707</v>
      </c>
      <c r="E49" s="342" t="s">
        <v>454</v>
      </c>
      <c r="F49" s="342" t="s">
        <v>776</v>
      </c>
      <c r="G49" s="342" t="s">
        <v>695</v>
      </c>
      <c r="H49" s="342" t="s">
        <v>696</v>
      </c>
    </row>
    <row r="50" spans="1:8" x14ac:dyDescent="0.25">
      <c r="A50" s="343">
        <v>130</v>
      </c>
      <c r="B50" s="343">
        <v>63959</v>
      </c>
      <c r="C50" s="342" t="s">
        <v>701</v>
      </c>
      <c r="D50" s="342" t="s">
        <v>777</v>
      </c>
      <c r="E50" s="342" t="s">
        <v>493</v>
      </c>
      <c r="F50" s="342" t="s">
        <v>778</v>
      </c>
      <c r="G50" s="342" t="s">
        <v>695</v>
      </c>
      <c r="H50" s="342" t="s">
        <v>696</v>
      </c>
    </row>
    <row r="51" spans="1:8" x14ac:dyDescent="0.25">
      <c r="A51" s="343">
        <v>204</v>
      </c>
      <c r="B51" s="343">
        <v>45476</v>
      </c>
      <c r="C51" s="342" t="s">
        <v>779</v>
      </c>
      <c r="D51" s="342" t="s">
        <v>780</v>
      </c>
      <c r="E51" s="342" t="s">
        <v>570</v>
      </c>
      <c r="F51" s="342" t="s">
        <v>781</v>
      </c>
      <c r="G51" s="342" t="s">
        <v>695</v>
      </c>
      <c r="H51" s="342" t="s">
        <v>696</v>
      </c>
    </row>
    <row r="52" spans="1:8" x14ac:dyDescent="0.25">
      <c r="A52" s="343">
        <v>225</v>
      </c>
      <c r="B52" s="343">
        <v>48660</v>
      </c>
      <c r="C52" s="342" t="s">
        <v>701</v>
      </c>
      <c r="D52" s="342" t="s">
        <v>702</v>
      </c>
      <c r="E52" s="342" t="s">
        <v>593</v>
      </c>
      <c r="F52" s="342" t="s">
        <v>782</v>
      </c>
      <c r="G52" s="342" t="s">
        <v>695</v>
      </c>
      <c r="H52" s="342" t="s">
        <v>696</v>
      </c>
    </row>
    <row r="53" spans="1:8" x14ac:dyDescent="0.25">
      <c r="A53" s="343">
        <v>266</v>
      </c>
      <c r="B53" s="343">
        <v>49000</v>
      </c>
      <c r="C53" s="342" t="s">
        <v>701</v>
      </c>
      <c r="D53" s="342" t="s">
        <v>729</v>
      </c>
      <c r="E53" s="342" t="s">
        <v>635</v>
      </c>
      <c r="F53" s="342" t="s">
        <v>783</v>
      </c>
      <c r="G53" s="342" t="s">
        <v>695</v>
      </c>
      <c r="H53" s="342" t="s">
        <v>696</v>
      </c>
    </row>
    <row r="54" spans="1:8" x14ac:dyDescent="0.25">
      <c r="A54" s="343">
        <v>311</v>
      </c>
      <c r="B54" s="343">
        <v>64176</v>
      </c>
      <c r="C54" s="342" t="s">
        <v>740</v>
      </c>
      <c r="D54" s="342" t="s">
        <v>741</v>
      </c>
      <c r="E54" s="342" t="s">
        <v>681</v>
      </c>
      <c r="F54" s="342" t="s">
        <v>784</v>
      </c>
      <c r="G54" s="342" t="s">
        <v>695</v>
      </c>
      <c r="H54" s="342" t="s">
        <v>696</v>
      </c>
    </row>
    <row r="55" spans="1:8" x14ac:dyDescent="0.25">
      <c r="A55" s="343">
        <v>324</v>
      </c>
      <c r="B55" s="343">
        <v>64311</v>
      </c>
      <c r="C55" s="342" t="s">
        <v>692</v>
      </c>
      <c r="D55" s="342" t="s">
        <v>693</v>
      </c>
      <c r="E55" s="342" t="s">
        <v>643</v>
      </c>
      <c r="F55" s="342" t="s">
        <v>785</v>
      </c>
      <c r="G55" s="342" t="s">
        <v>695</v>
      </c>
      <c r="H55" s="342" t="s">
        <v>696</v>
      </c>
    </row>
    <row r="56" spans="1:8" x14ac:dyDescent="0.25">
      <c r="A56" s="343">
        <v>337</v>
      </c>
      <c r="B56" s="343">
        <v>63924</v>
      </c>
      <c r="C56" s="342" t="s">
        <v>767</v>
      </c>
      <c r="D56" s="342" t="s">
        <v>768</v>
      </c>
      <c r="E56" s="342" t="s">
        <v>467</v>
      </c>
      <c r="F56" s="342" t="s">
        <v>786</v>
      </c>
      <c r="G56" s="342" t="s">
        <v>695</v>
      </c>
      <c r="H56" s="342" t="s">
        <v>787</v>
      </c>
    </row>
    <row r="57" spans="1:8" x14ac:dyDescent="0.25">
      <c r="A57" s="343">
        <v>367</v>
      </c>
      <c r="B57" s="343">
        <v>309</v>
      </c>
      <c r="C57" s="342" t="s">
        <v>701</v>
      </c>
      <c r="D57" s="342" t="s">
        <v>763</v>
      </c>
      <c r="E57" s="342" t="s">
        <v>358</v>
      </c>
      <c r="F57" s="342" t="s">
        <v>788</v>
      </c>
      <c r="G57" s="342" t="s">
        <v>695</v>
      </c>
      <c r="H57" s="342" t="s">
        <v>734</v>
      </c>
    </row>
    <row r="58" spans="1:8" x14ac:dyDescent="0.25">
      <c r="A58" s="343">
        <v>380</v>
      </c>
      <c r="B58" s="343">
        <v>48680</v>
      </c>
      <c r="C58" s="342" t="s">
        <v>789</v>
      </c>
      <c r="D58" s="342" t="s">
        <v>790</v>
      </c>
      <c r="E58" s="342" t="s">
        <v>460</v>
      </c>
      <c r="F58" s="342" t="s">
        <v>791</v>
      </c>
      <c r="G58" s="342" t="s">
        <v>695</v>
      </c>
      <c r="H58" s="342" t="s">
        <v>705</v>
      </c>
    </row>
    <row r="59" spans="1:8" x14ac:dyDescent="0.25">
      <c r="A59" s="343">
        <v>382</v>
      </c>
      <c r="B59" s="343">
        <v>164</v>
      </c>
      <c r="C59" s="342" t="s">
        <v>697</v>
      </c>
      <c r="D59" s="342" t="s">
        <v>772</v>
      </c>
      <c r="E59" s="342" t="s">
        <v>438</v>
      </c>
      <c r="F59" s="342" t="s">
        <v>792</v>
      </c>
      <c r="G59" s="342" t="s">
        <v>695</v>
      </c>
      <c r="H59" s="342" t="s">
        <v>705</v>
      </c>
    </row>
    <row r="60" spans="1:8" x14ac:dyDescent="0.25">
      <c r="A60" s="343">
        <v>384</v>
      </c>
      <c r="B60" s="343">
        <v>63961</v>
      </c>
      <c r="C60" s="342" t="s">
        <v>701</v>
      </c>
      <c r="D60" s="342" t="s">
        <v>702</v>
      </c>
      <c r="E60" s="342" t="s">
        <v>585</v>
      </c>
      <c r="F60" s="342" t="s">
        <v>793</v>
      </c>
      <c r="G60" s="342" t="s">
        <v>695</v>
      </c>
      <c r="H60" s="342" t="s">
        <v>705</v>
      </c>
    </row>
    <row r="61" spans="1:8" x14ac:dyDescent="0.25">
      <c r="A61" s="343">
        <v>385</v>
      </c>
      <c r="B61" s="343">
        <v>3</v>
      </c>
      <c r="C61" s="342" t="s">
        <v>701</v>
      </c>
      <c r="D61" s="342" t="s">
        <v>702</v>
      </c>
      <c r="E61" s="342" t="s">
        <v>585</v>
      </c>
      <c r="F61" s="342" t="s">
        <v>794</v>
      </c>
      <c r="G61" s="342" t="s">
        <v>695</v>
      </c>
      <c r="H61" s="342" t="s">
        <v>710</v>
      </c>
    </row>
    <row r="62" spans="1:8" x14ac:dyDescent="0.25">
      <c r="A62" s="343">
        <v>392</v>
      </c>
      <c r="B62" s="343">
        <v>45477</v>
      </c>
      <c r="C62" s="342" t="s">
        <v>779</v>
      </c>
      <c r="D62" s="342" t="s">
        <v>780</v>
      </c>
      <c r="E62" s="342" t="s">
        <v>570</v>
      </c>
      <c r="F62" s="342" t="s">
        <v>795</v>
      </c>
      <c r="G62" s="342" t="s">
        <v>695</v>
      </c>
      <c r="H62" s="342" t="s">
        <v>726</v>
      </c>
    </row>
    <row r="63" spans="1:8" x14ac:dyDescent="0.25">
      <c r="A63" s="343">
        <v>434</v>
      </c>
      <c r="B63" s="343">
        <v>63828</v>
      </c>
      <c r="C63" s="342" t="s">
        <v>767</v>
      </c>
      <c r="D63" s="342" t="s">
        <v>768</v>
      </c>
      <c r="E63" s="342" t="s">
        <v>393</v>
      </c>
      <c r="F63" s="342" t="s">
        <v>796</v>
      </c>
      <c r="G63" s="342" t="s">
        <v>695</v>
      </c>
      <c r="H63" s="342" t="s">
        <v>705</v>
      </c>
    </row>
    <row r="64" spans="1:8" x14ac:dyDescent="0.25">
      <c r="A64" s="343">
        <v>492</v>
      </c>
      <c r="B64" s="343">
        <v>52386</v>
      </c>
      <c r="C64" s="342" t="s">
        <v>692</v>
      </c>
      <c r="D64" s="342" t="s">
        <v>693</v>
      </c>
      <c r="E64" s="342" t="s">
        <v>643</v>
      </c>
      <c r="F64" s="342" t="s">
        <v>797</v>
      </c>
      <c r="G64" s="342" t="s">
        <v>695</v>
      </c>
      <c r="H64" s="342" t="s">
        <v>798</v>
      </c>
    </row>
    <row r="65" spans="1:8" x14ac:dyDescent="0.25">
      <c r="A65" s="343">
        <v>525</v>
      </c>
      <c r="B65" s="343">
        <v>175</v>
      </c>
      <c r="C65" s="342" t="s">
        <v>692</v>
      </c>
      <c r="D65" s="342" t="s">
        <v>693</v>
      </c>
      <c r="E65" s="342" t="s">
        <v>643</v>
      </c>
      <c r="F65" s="342" t="s">
        <v>799</v>
      </c>
      <c r="G65" s="342" t="s">
        <v>695</v>
      </c>
      <c r="H65" s="342" t="s">
        <v>800</v>
      </c>
    </row>
    <row r="66" spans="1:8" x14ac:dyDescent="0.25">
      <c r="A66" s="343">
        <v>569</v>
      </c>
      <c r="B66" s="343">
        <v>63904</v>
      </c>
      <c r="C66" s="342" t="s">
        <v>789</v>
      </c>
      <c r="D66" s="342" t="s">
        <v>790</v>
      </c>
      <c r="E66" s="342" t="s">
        <v>460</v>
      </c>
      <c r="F66" s="342" t="s">
        <v>801</v>
      </c>
      <c r="G66" s="342" t="s">
        <v>695</v>
      </c>
      <c r="H66" s="342" t="s">
        <v>734</v>
      </c>
    </row>
    <row r="67" spans="1:8" x14ac:dyDescent="0.25">
      <c r="A67" s="343">
        <v>583</v>
      </c>
      <c r="B67" s="343">
        <v>64028</v>
      </c>
      <c r="C67" s="342" t="s">
        <v>701</v>
      </c>
      <c r="D67" s="342" t="s">
        <v>727</v>
      </c>
      <c r="E67" s="342" t="s">
        <v>495</v>
      </c>
      <c r="F67" s="342" t="s">
        <v>802</v>
      </c>
      <c r="G67" s="342" t="s">
        <v>695</v>
      </c>
      <c r="H67" s="342" t="s">
        <v>696</v>
      </c>
    </row>
    <row r="68" spans="1:8" x14ac:dyDescent="0.25">
      <c r="A68" s="343">
        <v>599</v>
      </c>
      <c r="B68" s="343">
        <v>174</v>
      </c>
      <c r="C68" s="342" t="s">
        <v>692</v>
      </c>
      <c r="D68" s="342" t="s">
        <v>803</v>
      </c>
      <c r="E68" s="342" t="s">
        <v>533</v>
      </c>
      <c r="F68" s="342" t="s">
        <v>804</v>
      </c>
      <c r="G68" s="342" t="s">
        <v>805</v>
      </c>
      <c r="H68" s="342" t="s">
        <v>806</v>
      </c>
    </row>
    <row r="69" spans="1:8" x14ac:dyDescent="0.25">
      <c r="A69" s="343">
        <v>691</v>
      </c>
      <c r="B69" s="343">
        <v>49241</v>
      </c>
      <c r="C69" s="342" t="s">
        <v>789</v>
      </c>
      <c r="D69" s="342" t="s">
        <v>790</v>
      </c>
      <c r="E69" s="342" t="s">
        <v>460</v>
      </c>
      <c r="F69" s="342" t="s">
        <v>807</v>
      </c>
      <c r="G69" s="342" t="s">
        <v>695</v>
      </c>
      <c r="H69" s="342" t="s">
        <v>726</v>
      </c>
    </row>
    <row r="70" spans="1:8" x14ac:dyDescent="0.25">
      <c r="A70" s="343">
        <v>827</v>
      </c>
      <c r="B70" s="343">
        <v>141</v>
      </c>
      <c r="C70" s="342" t="s">
        <v>692</v>
      </c>
      <c r="D70" s="342" t="s">
        <v>693</v>
      </c>
      <c r="E70" s="342" t="s">
        <v>643</v>
      </c>
      <c r="F70" s="342" t="s">
        <v>808</v>
      </c>
      <c r="G70" s="342" t="s">
        <v>695</v>
      </c>
      <c r="H70" s="342" t="s">
        <v>272</v>
      </c>
    </row>
    <row r="71" spans="1:8" x14ac:dyDescent="0.25">
      <c r="A71" s="343">
        <v>851</v>
      </c>
      <c r="B71" s="343">
        <v>22436</v>
      </c>
      <c r="C71" s="342" t="s">
        <v>706</v>
      </c>
      <c r="D71" s="342" t="s">
        <v>720</v>
      </c>
      <c r="E71" s="342" t="s">
        <v>638</v>
      </c>
      <c r="F71" s="342" t="s">
        <v>809</v>
      </c>
      <c r="G71" s="342" t="s">
        <v>695</v>
      </c>
      <c r="H71" s="342" t="s">
        <v>787</v>
      </c>
    </row>
    <row r="72" spans="1:8" x14ac:dyDescent="0.25">
      <c r="A72" s="343">
        <v>896</v>
      </c>
      <c r="B72" s="343">
        <v>66199</v>
      </c>
      <c r="C72" s="342" t="s">
        <v>692</v>
      </c>
      <c r="D72" s="342" t="s">
        <v>803</v>
      </c>
      <c r="E72" s="342" t="s">
        <v>533</v>
      </c>
      <c r="F72" s="342" t="s">
        <v>810</v>
      </c>
      <c r="G72" s="342" t="s">
        <v>695</v>
      </c>
      <c r="H72" s="342" t="s">
        <v>811</v>
      </c>
    </row>
    <row r="73" spans="1:8" x14ac:dyDescent="0.25">
      <c r="A73" s="343">
        <v>904</v>
      </c>
      <c r="B73" s="343">
        <v>13746</v>
      </c>
      <c r="C73" s="342" t="s">
        <v>697</v>
      </c>
      <c r="D73" s="342" t="s">
        <v>772</v>
      </c>
      <c r="E73" s="342" t="s">
        <v>438</v>
      </c>
      <c r="F73" s="342" t="s">
        <v>812</v>
      </c>
      <c r="G73" s="342" t="s">
        <v>805</v>
      </c>
      <c r="H73" s="342" t="s">
        <v>813</v>
      </c>
    </row>
    <row r="74" spans="1:8" x14ac:dyDescent="0.25">
      <c r="A74" s="343">
        <v>967</v>
      </c>
      <c r="B74" s="343">
        <v>821</v>
      </c>
      <c r="C74" s="342" t="s">
        <v>697</v>
      </c>
      <c r="D74" s="342" t="s">
        <v>714</v>
      </c>
      <c r="E74" s="342" t="s">
        <v>560</v>
      </c>
      <c r="F74" s="342" t="s">
        <v>814</v>
      </c>
      <c r="G74" s="342" t="s">
        <v>805</v>
      </c>
      <c r="H74" s="342" t="s">
        <v>813</v>
      </c>
    </row>
    <row r="75" spans="1:8" x14ac:dyDescent="0.25">
      <c r="A75" s="343">
        <v>970</v>
      </c>
      <c r="B75" s="343">
        <v>13872</v>
      </c>
      <c r="C75" s="342" t="s">
        <v>779</v>
      </c>
      <c r="D75" s="342" t="s">
        <v>780</v>
      </c>
      <c r="E75" s="342" t="s">
        <v>570</v>
      </c>
      <c r="F75" s="342" t="s">
        <v>815</v>
      </c>
      <c r="G75" s="342" t="s">
        <v>805</v>
      </c>
      <c r="H75" s="342" t="s">
        <v>813</v>
      </c>
    </row>
    <row r="76" spans="1:8" x14ac:dyDescent="0.25">
      <c r="A76" s="343">
        <v>999</v>
      </c>
      <c r="B76" s="343">
        <v>67710</v>
      </c>
      <c r="C76" s="342" t="s">
        <v>779</v>
      </c>
      <c r="D76" s="342" t="s">
        <v>780</v>
      </c>
      <c r="E76" s="342" t="s">
        <v>570</v>
      </c>
      <c r="F76" s="342" t="s">
        <v>816</v>
      </c>
      <c r="G76" s="342" t="s">
        <v>805</v>
      </c>
      <c r="H76" s="342" t="s">
        <v>806</v>
      </c>
    </row>
    <row r="77" spans="1:8" x14ac:dyDescent="0.25">
      <c r="A77" s="343">
        <v>86</v>
      </c>
      <c r="B77" s="343">
        <v>63888</v>
      </c>
      <c r="C77" s="342" t="s">
        <v>701</v>
      </c>
      <c r="D77" s="342" t="s">
        <v>727</v>
      </c>
      <c r="E77" s="342" t="s">
        <v>450</v>
      </c>
      <c r="F77" s="342" t="s">
        <v>817</v>
      </c>
      <c r="G77" s="342" t="s">
        <v>695</v>
      </c>
      <c r="H77" s="342" t="s">
        <v>696</v>
      </c>
    </row>
    <row r="78" spans="1:8" x14ac:dyDescent="0.25">
      <c r="A78" s="343">
        <v>298</v>
      </c>
      <c r="B78" s="343">
        <v>64286</v>
      </c>
      <c r="C78" s="342" t="s">
        <v>789</v>
      </c>
      <c r="D78" s="342" t="s">
        <v>818</v>
      </c>
      <c r="E78" s="342" t="s">
        <v>667</v>
      </c>
      <c r="F78" s="342" t="s">
        <v>819</v>
      </c>
      <c r="G78" s="342" t="s">
        <v>695</v>
      </c>
      <c r="H78" s="342" t="s">
        <v>696</v>
      </c>
    </row>
    <row r="79" spans="1:8" x14ac:dyDescent="0.25">
      <c r="A79" s="343">
        <v>180</v>
      </c>
      <c r="B79" s="343">
        <v>160</v>
      </c>
      <c r="C79" s="342" t="s">
        <v>706</v>
      </c>
      <c r="D79" s="342" t="s">
        <v>720</v>
      </c>
      <c r="E79" s="342" t="s">
        <v>545</v>
      </c>
      <c r="F79" s="342" t="s">
        <v>820</v>
      </c>
      <c r="G79" s="342" t="s">
        <v>695</v>
      </c>
      <c r="H79" s="342" t="s">
        <v>696</v>
      </c>
    </row>
    <row r="80" spans="1:8" x14ac:dyDescent="0.25">
      <c r="A80" s="343">
        <v>482</v>
      </c>
      <c r="B80" s="343">
        <v>21</v>
      </c>
      <c r="C80" s="342" t="s">
        <v>789</v>
      </c>
      <c r="D80" s="342" t="s">
        <v>790</v>
      </c>
      <c r="E80" s="342" t="s">
        <v>515</v>
      </c>
      <c r="F80" s="342" t="s">
        <v>821</v>
      </c>
      <c r="G80" s="342" t="s">
        <v>695</v>
      </c>
      <c r="H80" s="342" t="s">
        <v>734</v>
      </c>
    </row>
    <row r="81" spans="1:8" x14ac:dyDescent="0.25">
      <c r="A81" s="343">
        <v>892</v>
      </c>
      <c r="B81" s="343">
        <v>67170</v>
      </c>
      <c r="C81" s="342" t="s">
        <v>822</v>
      </c>
      <c r="D81" s="342" t="s">
        <v>823</v>
      </c>
      <c r="E81" s="342" t="s">
        <v>630</v>
      </c>
      <c r="F81" s="342" t="s">
        <v>824</v>
      </c>
      <c r="G81" s="342" t="s">
        <v>805</v>
      </c>
      <c r="H81" s="342" t="s">
        <v>806</v>
      </c>
    </row>
    <row r="82" spans="1:8" x14ac:dyDescent="0.25">
      <c r="A82" s="343">
        <v>893</v>
      </c>
      <c r="B82" s="343">
        <v>67171</v>
      </c>
      <c r="C82" s="342" t="s">
        <v>822</v>
      </c>
      <c r="D82" s="342" t="s">
        <v>823</v>
      </c>
      <c r="E82" s="342" t="s">
        <v>630</v>
      </c>
      <c r="F82" s="342" t="s">
        <v>825</v>
      </c>
      <c r="G82" s="342" t="s">
        <v>805</v>
      </c>
      <c r="H82" s="342" t="s">
        <v>806</v>
      </c>
    </row>
    <row r="83" spans="1:8" x14ac:dyDescent="0.25">
      <c r="A83" s="343">
        <v>136</v>
      </c>
      <c r="B83" s="343">
        <v>279</v>
      </c>
      <c r="C83" s="342" t="s">
        <v>701</v>
      </c>
      <c r="D83" s="342" t="s">
        <v>718</v>
      </c>
      <c r="E83" s="342" t="s">
        <v>500</v>
      </c>
      <c r="F83" s="342" t="s">
        <v>826</v>
      </c>
      <c r="G83" s="342" t="s">
        <v>695</v>
      </c>
      <c r="H83" s="342" t="s">
        <v>696</v>
      </c>
    </row>
    <row r="84" spans="1:8" x14ac:dyDescent="0.25">
      <c r="A84" s="343">
        <v>263</v>
      </c>
      <c r="B84" s="343">
        <v>49658</v>
      </c>
      <c r="C84" s="342" t="s">
        <v>692</v>
      </c>
      <c r="D84" s="342" t="s">
        <v>827</v>
      </c>
      <c r="E84" s="342" t="s">
        <v>633</v>
      </c>
      <c r="F84" s="342" t="s">
        <v>828</v>
      </c>
      <c r="G84" s="342" t="s">
        <v>695</v>
      </c>
      <c r="H84" s="342" t="s">
        <v>696</v>
      </c>
    </row>
    <row r="85" spans="1:8" x14ac:dyDescent="0.25">
      <c r="A85" s="343">
        <v>40</v>
      </c>
      <c r="B85" s="343">
        <v>48652</v>
      </c>
      <c r="C85" s="342" t="s">
        <v>789</v>
      </c>
      <c r="D85" s="342" t="s">
        <v>818</v>
      </c>
      <c r="E85" s="342" t="s">
        <v>401</v>
      </c>
      <c r="F85" s="342" t="s">
        <v>829</v>
      </c>
      <c r="G85" s="342" t="s">
        <v>695</v>
      </c>
      <c r="H85" s="342" t="s">
        <v>696</v>
      </c>
    </row>
    <row r="86" spans="1:8" x14ac:dyDescent="0.25">
      <c r="A86" s="343">
        <v>273</v>
      </c>
      <c r="B86" s="343">
        <v>64204</v>
      </c>
      <c r="C86" s="342" t="s">
        <v>740</v>
      </c>
      <c r="D86" s="342" t="s">
        <v>765</v>
      </c>
      <c r="E86" s="342" t="s">
        <v>642</v>
      </c>
      <c r="F86" s="342" t="s">
        <v>830</v>
      </c>
      <c r="G86" s="342" t="s">
        <v>695</v>
      </c>
      <c r="H86" s="342" t="s">
        <v>696</v>
      </c>
    </row>
    <row r="87" spans="1:8" x14ac:dyDescent="0.25">
      <c r="A87" s="343">
        <v>300</v>
      </c>
      <c r="B87" s="343">
        <v>135</v>
      </c>
      <c r="C87" s="342" t="s">
        <v>697</v>
      </c>
      <c r="D87" s="342" t="s">
        <v>772</v>
      </c>
      <c r="E87" s="342" t="s">
        <v>669</v>
      </c>
      <c r="F87" s="342" t="s">
        <v>831</v>
      </c>
      <c r="G87" s="342" t="s">
        <v>695</v>
      </c>
      <c r="H87" s="342" t="s">
        <v>696</v>
      </c>
    </row>
    <row r="88" spans="1:8" x14ac:dyDescent="0.25">
      <c r="A88" s="343">
        <v>19</v>
      </c>
      <c r="B88" s="343">
        <v>63806</v>
      </c>
      <c r="C88" s="342" t="s">
        <v>832</v>
      </c>
      <c r="D88" s="342" t="s">
        <v>833</v>
      </c>
      <c r="E88" s="342" t="s">
        <v>377</v>
      </c>
      <c r="F88" s="342" t="s">
        <v>834</v>
      </c>
      <c r="G88" s="342" t="s">
        <v>695</v>
      </c>
      <c r="H88" s="342" t="s">
        <v>696</v>
      </c>
    </row>
    <row r="89" spans="1:8" x14ac:dyDescent="0.25">
      <c r="A89" s="343">
        <v>149</v>
      </c>
      <c r="B89" s="343">
        <v>167</v>
      </c>
      <c r="C89" s="342" t="s">
        <v>701</v>
      </c>
      <c r="D89" s="342" t="s">
        <v>835</v>
      </c>
      <c r="E89" s="342" t="s">
        <v>513</v>
      </c>
      <c r="F89" s="342" t="s">
        <v>836</v>
      </c>
      <c r="G89" s="342" t="s">
        <v>695</v>
      </c>
      <c r="H89" s="342" t="s">
        <v>696</v>
      </c>
    </row>
    <row r="90" spans="1:8" x14ac:dyDescent="0.25">
      <c r="A90" s="343">
        <v>218</v>
      </c>
      <c r="B90" s="343">
        <v>63962</v>
      </c>
      <c r="C90" s="342" t="s">
        <v>832</v>
      </c>
      <c r="D90" s="342" t="s">
        <v>837</v>
      </c>
      <c r="E90" s="342" t="s">
        <v>586</v>
      </c>
      <c r="F90" s="342" t="s">
        <v>838</v>
      </c>
      <c r="G90" s="342" t="s">
        <v>695</v>
      </c>
      <c r="H90" s="342" t="s">
        <v>696</v>
      </c>
    </row>
    <row r="91" spans="1:8" x14ac:dyDescent="0.25">
      <c r="A91" s="343">
        <v>339</v>
      </c>
      <c r="B91" s="343">
        <v>4</v>
      </c>
      <c r="C91" s="342" t="s">
        <v>692</v>
      </c>
      <c r="D91" s="342" t="s">
        <v>693</v>
      </c>
      <c r="E91" s="342" t="s">
        <v>643</v>
      </c>
      <c r="F91" s="342" t="s">
        <v>839</v>
      </c>
      <c r="G91" s="342" t="s">
        <v>695</v>
      </c>
      <c r="H91" s="342" t="s">
        <v>700</v>
      </c>
    </row>
    <row r="92" spans="1:8" x14ac:dyDescent="0.25">
      <c r="A92" s="343">
        <v>471</v>
      </c>
      <c r="B92" s="343">
        <v>64024</v>
      </c>
      <c r="C92" s="342" t="s">
        <v>701</v>
      </c>
      <c r="D92" s="342" t="s">
        <v>835</v>
      </c>
      <c r="E92" s="342" t="s">
        <v>513</v>
      </c>
      <c r="F92" s="342" t="s">
        <v>840</v>
      </c>
      <c r="G92" s="342" t="s">
        <v>695</v>
      </c>
      <c r="H92" s="342" t="s">
        <v>696</v>
      </c>
    </row>
    <row r="93" spans="1:8" x14ac:dyDescent="0.25">
      <c r="A93" s="343">
        <v>523</v>
      </c>
      <c r="B93" s="343">
        <v>64247</v>
      </c>
      <c r="C93" s="342" t="s">
        <v>701</v>
      </c>
      <c r="D93" s="342" t="s">
        <v>777</v>
      </c>
      <c r="E93" s="342" t="s">
        <v>610</v>
      </c>
      <c r="F93" s="342" t="s">
        <v>841</v>
      </c>
      <c r="G93" s="342" t="s">
        <v>695</v>
      </c>
      <c r="H93" s="342" t="s">
        <v>787</v>
      </c>
    </row>
    <row r="94" spans="1:8" x14ac:dyDescent="0.25">
      <c r="A94" s="343">
        <v>920</v>
      </c>
      <c r="B94" s="343">
        <v>63917</v>
      </c>
      <c r="C94" s="342" t="s">
        <v>701</v>
      </c>
      <c r="D94" s="342" t="s">
        <v>763</v>
      </c>
      <c r="E94" s="342" t="s">
        <v>464</v>
      </c>
      <c r="F94" s="342" t="s">
        <v>842</v>
      </c>
      <c r="G94" s="342" t="s">
        <v>695</v>
      </c>
      <c r="H94" s="342" t="s">
        <v>726</v>
      </c>
    </row>
    <row r="95" spans="1:8" x14ac:dyDescent="0.25">
      <c r="A95" s="343">
        <v>928</v>
      </c>
      <c r="B95" s="343">
        <v>48536</v>
      </c>
      <c r="C95" s="342" t="s">
        <v>701</v>
      </c>
      <c r="D95" s="342" t="s">
        <v>777</v>
      </c>
      <c r="E95" s="342" t="s">
        <v>610</v>
      </c>
      <c r="F95" s="342" t="s">
        <v>843</v>
      </c>
      <c r="G95" s="342" t="s">
        <v>695</v>
      </c>
      <c r="H95" s="342" t="s">
        <v>696</v>
      </c>
    </row>
    <row r="96" spans="1:8" x14ac:dyDescent="0.25">
      <c r="A96" s="343">
        <v>6</v>
      </c>
      <c r="B96" s="343">
        <v>42</v>
      </c>
      <c r="C96" s="342" t="s">
        <v>701</v>
      </c>
      <c r="D96" s="342" t="s">
        <v>763</v>
      </c>
      <c r="E96" s="342" t="s">
        <v>358</v>
      </c>
      <c r="F96" s="342" t="s">
        <v>844</v>
      </c>
      <c r="G96" s="342" t="s">
        <v>695</v>
      </c>
      <c r="H96" s="342" t="s">
        <v>696</v>
      </c>
    </row>
    <row r="97" spans="1:8" x14ac:dyDescent="0.25">
      <c r="A97" s="343">
        <v>14</v>
      </c>
      <c r="B97" s="343">
        <v>63759</v>
      </c>
      <c r="C97" s="342" t="s">
        <v>701</v>
      </c>
      <c r="D97" s="342" t="s">
        <v>845</v>
      </c>
      <c r="E97" s="342" t="s">
        <v>370</v>
      </c>
      <c r="F97" s="342" t="s">
        <v>846</v>
      </c>
      <c r="G97" s="342" t="s">
        <v>695</v>
      </c>
      <c r="H97" s="342" t="s">
        <v>696</v>
      </c>
    </row>
    <row r="98" spans="1:8" x14ac:dyDescent="0.25">
      <c r="A98" s="343">
        <v>23</v>
      </c>
      <c r="B98" s="343">
        <v>64</v>
      </c>
      <c r="C98" s="342" t="s">
        <v>706</v>
      </c>
      <c r="D98" s="342" t="s">
        <v>847</v>
      </c>
      <c r="E98" s="342" t="s">
        <v>382</v>
      </c>
      <c r="F98" s="342" t="s">
        <v>848</v>
      </c>
      <c r="G98" s="342" t="s">
        <v>695</v>
      </c>
      <c r="H98" s="342" t="s">
        <v>696</v>
      </c>
    </row>
    <row r="99" spans="1:8" x14ac:dyDescent="0.25">
      <c r="A99" s="343">
        <v>37</v>
      </c>
      <c r="B99" s="343">
        <v>234</v>
      </c>
      <c r="C99" s="342" t="s">
        <v>701</v>
      </c>
      <c r="D99" s="342" t="s">
        <v>777</v>
      </c>
      <c r="E99" s="342" t="s">
        <v>397</v>
      </c>
      <c r="F99" s="342" t="s">
        <v>849</v>
      </c>
      <c r="G99" s="342" t="s">
        <v>695</v>
      </c>
      <c r="H99" s="342" t="s">
        <v>696</v>
      </c>
    </row>
    <row r="100" spans="1:8" x14ac:dyDescent="0.25">
      <c r="A100" s="343">
        <v>146</v>
      </c>
      <c r="B100" s="343">
        <v>357</v>
      </c>
      <c r="C100" s="342" t="s">
        <v>701</v>
      </c>
      <c r="D100" s="342" t="s">
        <v>711</v>
      </c>
      <c r="E100" s="342" t="s">
        <v>510</v>
      </c>
      <c r="F100" s="342" t="s">
        <v>850</v>
      </c>
      <c r="G100" s="342" t="s">
        <v>695</v>
      </c>
      <c r="H100" s="342" t="s">
        <v>696</v>
      </c>
    </row>
    <row r="101" spans="1:8" x14ac:dyDescent="0.25">
      <c r="A101" s="343">
        <v>241</v>
      </c>
      <c r="B101" s="343">
        <v>64245</v>
      </c>
      <c r="C101" s="342" t="s">
        <v>701</v>
      </c>
      <c r="D101" s="342" t="s">
        <v>777</v>
      </c>
      <c r="E101" s="342" t="s">
        <v>610</v>
      </c>
      <c r="F101" s="342" t="s">
        <v>851</v>
      </c>
      <c r="G101" s="342" t="s">
        <v>695</v>
      </c>
      <c r="H101" s="342" t="s">
        <v>696</v>
      </c>
    </row>
    <row r="102" spans="1:8" x14ac:dyDescent="0.25">
      <c r="A102" s="343">
        <v>285</v>
      </c>
      <c r="B102" s="343">
        <v>48515</v>
      </c>
      <c r="C102" s="342" t="s">
        <v>701</v>
      </c>
      <c r="D102" s="342" t="s">
        <v>763</v>
      </c>
      <c r="E102" s="342" t="s">
        <v>655</v>
      </c>
      <c r="F102" s="342" t="s">
        <v>852</v>
      </c>
      <c r="G102" s="342" t="s">
        <v>695</v>
      </c>
      <c r="H102" s="342" t="s">
        <v>696</v>
      </c>
    </row>
    <row r="103" spans="1:8" x14ac:dyDescent="0.25">
      <c r="A103" s="343">
        <v>435</v>
      </c>
      <c r="B103" s="343">
        <v>64339</v>
      </c>
      <c r="C103" s="342" t="s">
        <v>701</v>
      </c>
      <c r="D103" s="342" t="s">
        <v>763</v>
      </c>
      <c r="E103" s="342" t="s">
        <v>853</v>
      </c>
      <c r="F103" s="342" t="s">
        <v>854</v>
      </c>
      <c r="G103" s="342" t="s">
        <v>695</v>
      </c>
      <c r="H103" s="342" t="s">
        <v>734</v>
      </c>
    </row>
    <row r="104" spans="1:8" x14ac:dyDescent="0.25">
      <c r="A104" s="343">
        <v>555</v>
      </c>
      <c r="B104" s="343">
        <v>64248</v>
      </c>
      <c r="C104" s="342" t="s">
        <v>701</v>
      </c>
      <c r="D104" s="342" t="s">
        <v>777</v>
      </c>
      <c r="E104" s="342" t="s">
        <v>610</v>
      </c>
      <c r="F104" s="342" t="s">
        <v>855</v>
      </c>
      <c r="G104" s="342" t="s">
        <v>695</v>
      </c>
      <c r="H104" s="342" t="s">
        <v>856</v>
      </c>
    </row>
    <row r="105" spans="1:8" x14ac:dyDescent="0.25">
      <c r="A105" s="343">
        <v>622</v>
      </c>
      <c r="B105" s="343">
        <v>64252</v>
      </c>
      <c r="C105" s="342" t="s">
        <v>701</v>
      </c>
      <c r="D105" s="342" t="s">
        <v>711</v>
      </c>
      <c r="E105" s="342" t="s">
        <v>611</v>
      </c>
      <c r="F105" s="342" t="s">
        <v>857</v>
      </c>
      <c r="G105" s="342" t="s">
        <v>695</v>
      </c>
      <c r="H105" s="342" t="s">
        <v>705</v>
      </c>
    </row>
    <row r="106" spans="1:8" x14ac:dyDescent="0.25">
      <c r="A106" s="343">
        <v>672</v>
      </c>
      <c r="B106" s="343">
        <v>63778</v>
      </c>
      <c r="C106" s="342" t="s">
        <v>779</v>
      </c>
      <c r="D106" s="342" t="s">
        <v>858</v>
      </c>
      <c r="E106" s="342" t="s">
        <v>362</v>
      </c>
      <c r="F106" s="342" t="s">
        <v>859</v>
      </c>
      <c r="G106" s="342" t="s">
        <v>695</v>
      </c>
      <c r="H106" s="342" t="s">
        <v>726</v>
      </c>
    </row>
    <row r="107" spans="1:8" x14ac:dyDescent="0.25">
      <c r="A107" s="343">
        <v>687</v>
      </c>
      <c r="B107" s="343">
        <v>63895</v>
      </c>
      <c r="C107" s="342" t="s">
        <v>767</v>
      </c>
      <c r="D107" s="342" t="s">
        <v>860</v>
      </c>
      <c r="E107" s="342" t="s">
        <v>449</v>
      </c>
      <c r="F107" s="342" t="s">
        <v>861</v>
      </c>
      <c r="G107" s="342" t="s">
        <v>695</v>
      </c>
      <c r="H107" s="342" t="s">
        <v>726</v>
      </c>
    </row>
    <row r="108" spans="1:8" x14ac:dyDescent="0.25">
      <c r="A108" s="343">
        <v>919</v>
      </c>
      <c r="B108" s="343">
        <v>66205</v>
      </c>
      <c r="C108" s="342" t="s">
        <v>740</v>
      </c>
      <c r="D108" s="342" t="s">
        <v>765</v>
      </c>
      <c r="E108" s="342" t="s">
        <v>642</v>
      </c>
      <c r="F108" s="342" t="s">
        <v>862</v>
      </c>
      <c r="G108" s="342" t="s">
        <v>695</v>
      </c>
      <c r="H108" s="342" t="s">
        <v>705</v>
      </c>
    </row>
    <row r="109" spans="1:8" x14ac:dyDescent="0.25">
      <c r="A109" s="343">
        <v>4</v>
      </c>
      <c r="B109" s="343">
        <v>280</v>
      </c>
      <c r="C109" s="342" t="s">
        <v>832</v>
      </c>
      <c r="D109" s="342" t="s">
        <v>837</v>
      </c>
      <c r="E109" s="342" t="s">
        <v>355</v>
      </c>
      <c r="F109" s="342" t="s">
        <v>863</v>
      </c>
      <c r="G109" s="342" t="s">
        <v>695</v>
      </c>
      <c r="H109" s="342" t="s">
        <v>696</v>
      </c>
    </row>
    <row r="110" spans="1:8" x14ac:dyDescent="0.25">
      <c r="A110" s="343">
        <v>50</v>
      </c>
      <c r="B110" s="343">
        <v>63859</v>
      </c>
      <c r="C110" s="342" t="s">
        <v>789</v>
      </c>
      <c r="D110" s="342" t="s">
        <v>818</v>
      </c>
      <c r="E110" s="342" t="s">
        <v>410</v>
      </c>
      <c r="F110" s="342" t="s">
        <v>864</v>
      </c>
      <c r="G110" s="342" t="s">
        <v>695</v>
      </c>
      <c r="H110" s="342" t="s">
        <v>696</v>
      </c>
    </row>
    <row r="111" spans="1:8" x14ac:dyDescent="0.25">
      <c r="A111" s="343">
        <v>78</v>
      </c>
      <c r="B111" s="343">
        <v>48935</v>
      </c>
      <c r="C111" s="342" t="s">
        <v>692</v>
      </c>
      <c r="D111" s="342" t="s">
        <v>865</v>
      </c>
      <c r="E111" s="342" t="s">
        <v>441</v>
      </c>
      <c r="F111" s="342" t="s">
        <v>866</v>
      </c>
      <c r="G111" s="342" t="s">
        <v>695</v>
      </c>
      <c r="H111" s="342" t="s">
        <v>696</v>
      </c>
    </row>
    <row r="112" spans="1:8" x14ac:dyDescent="0.25">
      <c r="A112" s="343">
        <v>155</v>
      </c>
      <c r="B112" s="343">
        <v>64057</v>
      </c>
      <c r="C112" s="342" t="s">
        <v>740</v>
      </c>
      <c r="D112" s="342" t="s">
        <v>741</v>
      </c>
      <c r="E112" s="342" t="s">
        <v>520</v>
      </c>
      <c r="F112" s="342" t="s">
        <v>867</v>
      </c>
      <c r="G112" s="342" t="s">
        <v>695</v>
      </c>
      <c r="H112" s="342" t="s">
        <v>696</v>
      </c>
    </row>
    <row r="113" spans="1:8" x14ac:dyDescent="0.25">
      <c r="A113" s="343">
        <v>159</v>
      </c>
      <c r="B113" s="343">
        <v>128</v>
      </c>
      <c r="C113" s="342" t="s">
        <v>697</v>
      </c>
      <c r="D113" s="342" t="s">
        <v>698</v>
      </c>
      <c r="E113" s="342" t="s">
        <v>524</v>
      </c>
      <c r="F113" s="342" t="s">
        <v>868</v>
      </c>
      <c r="G113" s="342" t="s">
        <v>695</v>
      </c>
      <c r="H113" s="342" t="s">
        <v>696</v>
      </c>
    </row>
    <row r="114" spans="1:8" x14ac:dyDescent="0.25">
      <c r="A114" s="343">
        <v>166</v>
      </c>
      <c r="B114" s="343">
        <v>45381</v>
      </c>
      <c r="C114" s="342" t="s">
        <v>706</v>
      </c>
      <c r="D114" s="342" t="s">
        <v>720</v>
      </c>
      <c r="E114" s="342" t="s">
        <v>531</v>
      </c>
      <c r="F114" s="342" t="s">
        <v>869</v>
      </c>
      <c r="G114" s="342" t="s">
        <v>695</v>
      </c>
      <c r="H114" s="342" t="s">
        <v>696</v>
      </c>
    </row>
    <row r="115" spans="1:8" x14ac:dyDescent="0.25">
      <c r="A115" s="343">
        <v>258</v>
      </c>
      <c r="B115" s="343">
        <v>48922</v>
      </c>
      <c r="C115" s="342" t="s">
        <v>822</v>
      </c>
      <c r="D115" s="342" t="s">
        <v>823</v>
      </c>
      <c r="E115" s="342" t="s">
        <v>630</v>
      </c>
      <c r="F115" s="342" t="s">
        <v>870</v>
      </c>
      <c r="G115" s="342" t="s">
        <v>695</v>
      </c>
      <c r="H115" s="342" t="s">
        <v>696</v>
      </c>
    </row>
    <row r="116" spans="1:8" x14ac:dyDescent="0.25">
      <c r="A116" s="343">
        <v>260</v>
      </c>
      <c r="B116" s="343">
        <v>64290</v>
      </c>
      <c r="C116" s="342" t="s">
        <v>822</v>
      </c>
      <c r="D116" s="342" t="s">
        <v>823</v>
      </c>
      <c r="E116" s="342" t="s">
        <v>630</v>
      </c>
      <c r="F116" s="342" t="s">
        <v>871</v>
      </c>
      <c r="G116" s="342" t="s">
        <v>695</v>
      </c>
      <c r="H116" s="342" t="s">
        <v>787</v>
      </c>
    </row>
    <row r="117" spans="1:8" x14ac:dyDescent="0.25">
      <c r="A117" s="343">
        <v>274</v>
      </c>
      <c r="B117" s="343">
        <v>48662</v>
      </c>
      <c r="C117" s="342" t="s">
        <v>701</v>
      </c>
      <c r="D117" s="342" t="s">
        <v>711</v>
      </c>
      <c r="E117" s="342" t="s">
        <v>644</v>
      </c>
      <c r="F117" s="342" t="s">
        <v>872</v>
      </c>
      <c r="G117" s="342" t="s">
        <v>695</v>
      </c>
      <c r="H117" s="342" t="s">
        <v>696</v>
      </c>
    </row>
    <row r="118" spans="1:8" x14ac:dyDescent="0.25">
      <c r="A118" s="343">
        <v>432</v>
      </c>
      <c r="B118" s="343">
        <v>63914</v>
      </c>
      <c r="C118" s="342" t="s">
        <v>706</v>
      </c>
      <c r="D118" s="342" t="s">
        <v>720</v>
      </c>
      <c r="E118" s="342" t="s">
        <v>531</v>
      </c>
      <c r="F118" s="342" t="s">
        <v>873</v>
      </c>
      <c r="G118" s="342" t="s">
        <v>695</v>
      </c>
      <c r="H118" s="342" t="s">
        <v>734</v>
      </c>
    </row>
    <row r="119" spans="1:8" x14ac:dyDescent="0.25">
      <c r="A119" s="343">
        <v>493</v>
      </c>
      <c r="B119" s="343">
        <v>165</v>
      </c>
      <c r="C119" s="342" t="s">
        <v>697</v>
      </c>
      <c r="D119" s="342" t="s">
        <v>874</v>
      </c>
      <c r="E119" s="342" t="s">
        <v>448</v>
      </c>
      <c r="F119" s="342" t="s">
        <v>875</v>
      </c>
      <c r="G119" s="342" t="s">
        <v>695</v>
      </c>
      <c r="H119" s="342" t="s">
        <v>696</v>
      </c>
    </row>
    <row r="120" spans="1:8" x14ac:dyDescent="0.25">
      <c r="A120" s="343">
        <v>574</v>
      </c>
      <c r="B120" s="343">
        <v>63780</v>
      </c>
      <c r="C120" s="342" t="s">
        <v>779</v>
      </c>
      <c r="D120" s="342" t="s">
        <v>780</v>
      </c>
      <c r="E120" s="342" t="s">
        <v>368</v>
      </c>
      <c r="F120" s="342" t="s">
        <v>876</v>
      </c>
      <c r="G120" s="342" t="s">
        <v>695</v>
      </c>
      <c r="H120" s="342" t="s">
        <v>700</v>
      </c>
    </row>
    <row r="121" spans="1:8" x14ac:dyDescent="0.25">
      <c r="A121" s="343">
        <v>585</v>
      </c>
      <c r="B121" s="343">
        <v>64239</v>
      </c>
      <c r="C121" s="342" t="s">
        <v>697</v>
      </c>
      <c r="D121" s="342" t="s">
        <v>877</v>
      </c>
      <c r="E121" s="342" t="s">
        <v>598</v>
      </c>
      <c r="F121" s="342" t="s">
        <v>878</v>
      </c>
      <c r="G121" s="342" t="s">
        <v>695</v>
      </c>
      <c r="H121" s="342" t="s">
        <v>726</v>
      </c>
    </row>
    <row r="122" spans="1:8" x14ac:dyDescent="0.25">
      <c r="A122" s="343">
        <v>664</v>
      </c>
      <c r="B122" s="343">
        <v>63781</v>
      </c>
      <c r="C122" s="342" t="s">
        <v>779</v>
      </c>
      <c r="D122" s="342" t="s">
        <v>780</v>
      </c>
      <c r="E122" s="342" t="s">
        <v>368</v>
      </c>
      <c r="F122" s="342" t="s">
        <v>879</v>
      </c>
      <c r="G122" s="342" t="s">
        <v>695</v>
      </c>
      <c r="H122" s="342" t="s">
        <v>880</v>
      </c>
    </row>
    <row r="123" spans="1:8" x14ac:dyDescent="0.25">
      <c r="A123" s="343">
        <v>665</v>
      </c>
      <c r="B123" s="343">
        <v>63785</v>
      </c>
      <c r="C123" s="342" t="s">
        <v>779</v>
      </c>
      <c r="D123" s="342" t="s">
        <v>780</v>
      </c>
      <c r="E123" s="342" t="s">
        <v>368</v>
      </c>
      <c r="F123" s="342" t="s">
        <v>881</v>
      </c>
      <c r="G123" s="342" t="s">
        <v>695</v>
      </c>
      <c r="H123" s="342" t="s">
        <v>710</v>
      </c>
    </row>
    <row r="124" spans="1:8" x14ac:dyDescent="0.25">
      <c r="A124" s="343">
        <v>1004</v>
      </c>
      <c r="B124" s="343">
        <v>67138</v>
      </c>
      <c r="C124" s="342" t="s">
        <v>697</v>
      </c>
      <c r="D124" s="342" t="s">
        <v>698</v>
      </c>
      <c r="E124" s="342" t="s">
        <v>604</v>
      </c>
      <c r="F124" s="342" t="s">
        <v>882</v>
      </c>
      <c r="G124" s="342" t="s">
        <v>805</v>
      </c>
      <c r="H124" s="342" t="s">
        <v>883</v>
      </c>
    </row>
    <row r="125" spans="1:8" x14ac:dyDescent="0.25">
      <c r="A125" s="343">
        <v>1013</v>
      </c>
      <c r="B125" s="343">
        <v>67863</v>
      </c>
      <c r="C125" s="342" t="s">
        <v>832</v>
      </c>
      <c r="D125" s="342" t="s">
        <v>837</v>
      </c>
      <c r="E125" s="342" t="s">
        <v>355</v>
      </c>
      <c r="F125" s="342" t="s">
        <v>884</v>
      </c>
      <c r="G125" s="342" t="s">
        <v>805</v>
      </c>
      <c r="H125" s="342" t="s">
        <v>883</v>
      </c>
    </row>
    <row r="126" spans="1:8" x14ac:dyDescent="0.25">
      <c r="A126" s="343">
        <v>1019</v>
      </c>
      <c r="B126" s="343">
        <v>64085</v>
      </c>
      <c r="C126" s="342" t="s">
        <v>706</v>
      </c>
      <c r="D126" s="342" t="s">
        <v>720</v>
      </c>
      <c r="E126" s="342" t="s">
        <v>531</v>
      </c>
      <c r="F126" s="342" t="s">
        <v>885</v>
      </c>
      <c r="G126" s="342" t="s">
        <v>695</v>
      </c>
      <c r="H126" s="342" t="s">
        <v>726</v>
      </c>
    </row>
    <row r="127" spans="1:8" x14ac:dyDescent="0.25">
      <c r="A127" s="343">
        <v>777</v>
      </c>
      <c r="B127" s="343">
        <v>22</v>
      </c>
      <c r="C127" s="342" t="s">
        <v>789</v>
      </c>
      <c r="D127" s="342" t="s">
        <v>818</v>
      </c>
      <c r="E127" s="342" t="s">
        <v>664</v>
      </c>
      <c r="F127" s="342" t="s">
        <v>886</v>
      </c>
      <c r="G127" s="342" t="s">
        <v>695</v>
      </c>
      <c r="H127" s="342" t="s">
        <v>710</v>
      </c>
    </row>
    <row r="128" spans="1:8" x14ac:dyDescent="0.25">
      <c r="A128" s="343">
        <v>1</v>
      </c>
      <c r="B128" s="343">
        <v>306</v>
      </c>
      <c r="C128" s="342" t="s">
        <v>697</v>
      </c>
      <c r="D128" s="342" t="s">
        <v>874</v>
      </c>
      <c r="E128" s="342" t="s">
        <v>350</v>
      </c>
      <c r="F128" s="342" t="s">
        <v>887</v>
      </c>
      <c r="G128" s="342" t="s">
        <v>695</v>
      </c>
      <c r="H128" s="342" t="s">
        <v>696</v>
      </c>
    </row>
    <row r="129" spans="1:8" x14ac:dyDescent="0.25">
      <c r="A129" s="343">
        <v>82</v>
      </c>
      <c r="B129" s="343">
        <v>268</v>
      </c>
      <c r="C129" s="342" t="s">
        <v>832</v>
      </c>
      <c r="D129" s="342" t="s">
        <v>833</v>
      </c>
      <c r="E129" s="342" t="s">
        <v>445</v>
      </c>
      <c r="F129" s="342" t="s">
        <v>888</v>
      </c>
      <c r="G129" s="342" t="s">
        <v>695</v>
      </c>
      <c r="H129" s="342" t="s">
        <v>696</v>
      </c>
    </row>
    <row r="130" spans="1:8" x14ac:dyDescent="0.25">
      <c r="A130" s="343">
        <v>109</v>
      </c>
      <c r="B130" s="343">
        <v>136</v>
      </c>
      <c r="C130" s="342" t="s">
        <v>822</v>
      </c>
      <c r="D130" s="342" t="s">
        <v>889</v>
      </c>
      <c r="E130" s="342" t="s">
        <v>471</v>
      </c>
      <c r="F130" s="342" t="s">
        <v>890</v>
      </c>
      <c r="G130" s="342" t="s">
        <v>695</v>
      </c>
      <c r="H130" s="342" t="s">
        <v>696</v>
      </c>
    </row>
    <row r="131" spans="1:8" x14ac:dyDescent="0.25">
      <c r="A131" s="343">
        <v>110</v>
      </c>
      <c r="B131" s="343">
        <v>49948</v>
      </c>
      <c r="C131" s="342" t="s">
        <v>779</v>
      </c>
      <c r="D131" s="342" t="s">
        <v>858</v>
      </c>
      <c r="E131" s="342" t="s">
        <v>472</v>
      </c>
      <c r="F131" s="342" t="s">
        <v>891</v>
      </c>
      <c r="G131" s="342" t="s">
        <v>695</v>
      </c>
      <c r="H131" s="342" t="s">
        <v>696</v>
      </c>
    </row>
    <row r="132" spans="1:8" x14ac:dyDescent="0.25">
      <c r="A132" s="343">
        <v>114</v>
      </c>
      <c r="B132" s="343">
        <v>63955</v>
      </c>
      <c r="C132" s="342" t="s">
        <v>767</v>
      </c>
      <c r="D132" s="342" t="s">
        <v>892</v>
      </c>
      <c r="E132" s="342" t="s">
        <v>476</v>
      </c>
      <c r="F132" s="342" t="s">
        <v>893</v>
      </c>
      <c r="G132" s="342" t="s">
        <v>695</v>
      </c>
      <c r="H132" s="342" t="s">
        <v>696</v>
      </c>
    </row>
    <row r="133" spans="1:8" x14ac:dyDescent="0.25">
      <c r="A133" s="343">
        <v>119</v>
      </c>
      <c r="B133" s="343">
        <v>48915</v>
      </c>
      <c r="C133" s="342" t="s">
        <v>692</v>
      </c>
      <c r="D133" s="342" t="s">
        <v>865</v>
      </c>
      <c r="E133" s="342" t="s">
        <v>481</v>
      </c>
      <c r="F133" s="342" t="s">
        <v>894</v>
      </c>
      <c r="G133" s="342" t="s">
        <v>695</v>
      </c>
      <c r="H133" s="342" t="s">
        <v>696</v>
      </c>
    </row>
    <row r="134" spans="1:8" x14ac:dyDescent="0.25">
      <c r="A134" s="343">
        <v>139</v>
      </c>
      <c r="B134" s="343">
        <v>54839</v>
      </c>
      <c r="C134" s="342" t="s">
        <v>767</v>
      </c>
      <c r="D134" s="342" t="s">
        <v>895</v>
      </c>
      <c r="E134" s="342" t="s">
        <v>503</v>
      </c>
      <c r="F134" s="342" t="s">
        <v>896</v>
      </c>
      <c r="G134" s="342" t="s">
        <v>695</v>
      </c>
      <c r="H134" s="342" t="s">
        <v>696</v>
      </c>
    </row>
    <row r="135" spans="1:8" x14ac:dyDescent="0.25">
      <c r="A135" s="343">
        <v>141</v>
      </c>
      <c r="B135" s="343">
        <v>48554</v>
      </c>
      <c r="C135" s="342" t="s">
        <v>832</v>
      </c>
      <c r="D135" s="342" t="s">
        <v>897</v>
      </c>
      <c r="E135" s="342" t="s">
        <v>505</v>
      </c>
      <c r="F135" s="342" t="s">
        <v>898</v>
      </c>
      <c r="G135" s="342" t="s">
        <v>695</v>
      </c>
      <c r="H135" s="342" t="s">
        <v>696</v>
      </c>
    </row>
    <row r="136" spans="1:8" x14ac:dyDescent="0.25">
      <c r="A136" s="343">
        <v>143</v>
      </c>
      <c r="B136" s="343">
        <v>48943</v>
      </c>
      <c r="C136" s="342" t="s">
        <v>701</v>
      </c>
      <c r="D136" s="342" t="s">
        <v>727</v>
      </c>
      <c r="E136" s="342" t="s">
        <v>507</v>
      </c>
      <c r="F136" s="342" t="s">
        <v>899</v>
      </c>
      <c r="G136" s="342" t="s">
        <v>695</v>
      </c>
      <c r="H136" s="342" t="s">
        <v>696</v>
      </c>
    </row>
    <row r="137" spans="1:8" x14ac:dyDescent="0.25">
      <c r="A137" s="343">
        <v>154</v>
      </c>
      <c r="B137" s="343">
        <v>64049</v>
      </c>
      <c r="C137" s="342" t="s">
        <v>706</v>
      </c>
      <c r="D137" s="342" t="s">
        <v>720</v>
      </c>
      <c r="E137" s="342" t="s">
        <v>519</v>
      </c>
      <c r="F137" s="342" t="s">
        <v>900</v>
      </c>
      <c r="G137" s="342" t="s">
        <v>695</v>
      </c>
      <c r="H137" s="342" t="s">
        <v>696</v>
      </c>
    </row>
    <row r="138" spans="1:8" x14ac:dyDescent="0.25">
      <c r="A138" s="343">
        <v>156</v>
      </c>
      <c r="B138" s="343">
        <v>266</v>
      </c>
      <c r="C138" s="342" t="s">
        <v>692</v>
      </c>
      <c r="D138" s="342" t="s">
        <v>901</v>
      </c>
      <c r="E138" s="342" t="s">
        <v>521</v>
      </c>
      <c r="F138" s="342" t="s">
        <v>902</v>
      </c>
      <c r="G138" s="342" t="s">
        <v>695</v>
      </c>
      <c r="H138" s="342" t="s">
        <v>696</v>
      </c>
    </row>
    <row r="139" spans="1:8" x14ac:dyDescent="0.25">
      <c r="A139" s="343">
        <v>196</v>
      </c>
      <c r="B139" s="343">
        <v>63897</v>
      </c>
      <c r="C139" s="342" t="s">
        <v>832</v>
      </c>
      <c r="D139" s="342" t="s">
        <v>833</v>
      </c>
      <c r="E139" s="342" t="s">
        <v>562</v>
      </c>
      <c r="F139" s="342" t="s">
        <v>903</v>
      </c>
      <c r="G139" s="342" t="s">
        <v>695</v>
      </c>
      <c r="H139" s="342" t="s">
        <v>696</v>
      </c>
    </row>
    <row r="140" spans="1:8" x14ac:dyDescent="0.25">
      <c r="A140" s="343">
        <v>197</v>
      </c>
      <c r="B140" s="343">
        <v>63939</v>
      </c>
      <c r="C140" s="342" t="s">
        <v>822</v>
      </c>
      <c r="D140" s="342" t="s">
        <v>889</v>
      </c>
      <c r="E140" s="342" t="s">
        <v>563</v>
      </c>
      <c r="F140" s="342" t="s">
        <v>904</v>
      </c>
      <c r="G140" s="342" t="s">
        <v>695</v>
      </c>
      <c r="H140" s="342" t="s">
        <v>696</v>
      </c>
    </row>
    <row r="141" spans="1:8" x14ac:dyDescent="0.25">
      <c r="A141" s="343">
        <v>207</v>
      </c>
      <c r="B141" s="343">
        <v>64227</v>
      </c>
      <c r="C141" s="342" t="s">
        <v>740</v>
      </c>
      <c r="D141" s="342" t="s">
        <v>741</v>
      </c>
      <c r="E141" s="342" t="s">
        <v>574</v>
      </c>
      <c r="F141" s="342" t="s">
        <v>905</v>
      </c>
      <c r="G141" s="342" t="s">
        <v>695</v>
      </c>
      <c r="H141" s="342" t="s">
        <v>696</v>
      </c>
    </row>
    <row r="142" spans="1:8" x14ac:dyDescent="0.25">
      <c r="A142" s="343">
        <v>228</v>
      </c>
      <c r="B142" s="343">
        <v>48928</v>
      </c>
      <c r="C142" s="342" t="s">
        <v>697</v>
      </c>
      <c r="D142" s="342" t="s">
        <v>877</v>
      </c>
      <c r="E142" s="342" t="s">
        <v>598</v>
      </c>
      <c r="F142" s="342" t="s">
        <v>906</v>
      </c>
      <c r="G142" s="342" t="s">
        <v>695</v>
      </c>
      <c r="H142" s="342" t="s">
        <v>696</v>
      </c>
    </row>
    <row r="143" spans="1:8" x14ac:dyDescent="0.25">
      <c r="A143" s="343">
        <v>247</v>
      </c>
      <c r="B143" s="343">
        <v>49674</v>
      </c>
      <c r="C143" s="342" t="s">
        <v>706</v>
      </c>
      <c r="D143" s="342" t="s">
        <v>907</v>
      </c>
      <c r="E143" s="342" t="s">
        <v>618</v>
      </c>
      <c r="F143" s="342" t="s">
        <v>908</v>
      </c>
      <c r="G143" s="342" t="s">
        <v>695</v>
      </c>
      <c r="H143" s="342" t="s">
        <v>696</v>
      </c>
    </row>
    <row r="144" spans="1:8" x14ac:dyDescent="0.25">
      <c r="A144" s="343">
        <v>251</v>
      </c>
      <c r="B144" s="343">
        <v>156</v>
      </c>
      <c r="C144" s="342" t="s">
        <v>832</v>
      </c>
      <c r="D144" s="342" t="s">
        <v>909</v>
      </c>
      <c r="E144" s="342" t="s">
        <v>622</v>
      </c>
      <c r="F144" s="342" t="s">
        <v>910</v>
      </c>
      <c r="G144" s="342" t="s">
        <v>695</v>
      </c>
      <c r="H144" s="342" t="s">
        <v>696</v>
      </c>
    </row>
    <row r="145" spans="1:8" x14ac:dyDescent="0.25">
      <c r="A145" s="343">
        <v>261</v>
      </c>
      <c r="B145" s="343">
        <v>183</v>
      </c>
      <c r="C145" s="342" t="s">
        <v>789</v>
      </c>
      <c r="D145" s="342" t="s">
        <v>818</v>
      </c>
      <c r="E145" s="342" t="s">
        <v>631</v>
      </c>
      <c r="F145" s="342" t="s">
        <v>911</v>
      </c>
      <c r="G145" s="342" t="s">
        <v>695</v>
      </c>
      <c r="H145" s="342" t="s">
        <v>696</v>
      </c>
    </row>
    <row r="146" spans="1:8" x14ac:dyDescent="0.25">
      <c r="A146" s="343">
        <v>295</v>
      </c>
      <c r="B146" s="343">
        <v>129</v>
      </c>
      <c r="C146" s="342" t="s">
        <v>789</v>
      </c>
      <c r="D146" s="342" t="s">
        <v>818</v>
      </c>
      <c r="E146" s="342" t="s">
        <v>664</v>
      </c>
      <c r="F146" s="342" t="s">
        <v>912</v>
      </c>
      <c r="G146" s="342" t="s">
        <v>695</v>
      </c>
      <c r="H146" s="342" t="s">
        <v>696</v>
      </c>
    </row>
    <row r="147" spans="1:8" x14ac:dyDescent="0.25">
      <c r="A147" s="343">
        <v>301</v>
      </c>
      <c r="B147" s="343">
        <v>261</v>
      </c>
      <c r="C147" s="342" t="s">
        <v>789</v>
      </c>
      <c r="D147" s="342" t="s">
        <v>913</v>
      </c>
      <c r="E147" s="342" t="s">
        <v>670</v>
      </c>
      <c r="F147" s="342" t="s">
        <v>914</v>
      </c>
      <c r="G147" s="342" t="s">
        <v>695</v>
      </c>
      <c r="H147" s="342" t="s">
        <v>696</v>
      </c>
    </row>
    <row r="148" spans="1:8" x14ac:dyDescent="0.25">
      <c r="A148" s="343">
        <v>320</v>
      </c>
      <c r="B148" s="343">
        <v>222</v>
      </c>
      <c r="C148" s="342" t="s">
        <v>692</v>
      </c>
      <c r="D148" s="342" t="s">
        <v>693</v>
      </c>
      <c r="E148" s="342" t="s">
        <v>643</v>
      </c>
      <c r="F148" s="342" t="s">
        <v>915</v>
      </c>
      <c r="G148" s="342" t="s">
        <v>695</v>
      </c>
      <c r="H148" s="342" t="s">
        <v>696</v>
      </c>
    </row>
    <row r="149" spans="1:8" x14ac:dyDescent="0.25">
      <c r="A149" s="343">
        <v>457</v>
      </c>
      <c r="B149" s="343">
        <v>5</v>
      </c>
      <c r="C149" s="342" t="s">
        <v>692</v>
      </c>
      <c r="D149" s="342" t="s">
        <v>693</v>
      </c>
      <c r="E149" s="342" t="s">
        <v>643</v>
      </c>
      <c r="F149" s="342" t="s">
        <v>916</v>
      </c>
      <c r="G149" s="342" t="s">
        <v>695</v>
      </c>
      <c r="H149" s="342" t="s">
        <v>917</v>
      </c>
    </row>
    <row r="150" spans="1:8" x14ac:dyDescent="0.25">
      <c r="A150" s="343">
        <v>460</v>
      </c>
      <c r="B150" s="343">
        <v>63898</v>
      </c>
      <c r="C150" s="342" t="s">
        <v>832</v>
      </c>
      <c r="D150" s="342" t="s">
        <v>833</v>
      </c>
      <c r="E150" s="342" t="s">
        <v>562</v>
      </c>
      <c r="F150" s="342" t="s">
        <v>918</v>
      </c>
      <c r="G150" s="342" t="s">
        <v>695</v>
      </c>
      <c r="H150" s="342" t="s">
        <v>705</v>
      </c>
    </row>
    <row r="151" spans="1:8" x14ac:dyDescent="0.25">
      <c r="A151" s="343">
        <v>474</v>
      </c>
      <c r="B151" s="343">
        <v>63956</v>
      </c>
      <c r="C151" s="342" t="s">
        <v>767</v>
      </c>
      <c r="D151" s="342" t="s">
        <v>892</v>
      </c>
      <c r="E151" s="342" t="s">
        <v>476</v>
      </c>
      <c r="F151" s="342" t="s">
        <v>919</v>
      </c>
      <c r="G151" s="342" t="s">
        <v>695</v>
      </c>
      <c r="H151" s="342" t="s">
        <v>726</v>
      </c>
    </row>
    <row r="152" spans="1:8" x14ac:dyDescent="0.25">
      <c r="A152" s="343">
        <v>537</v>
      </c>
      <c r="B152" s="343">
        <v>63935</v>
      </c>
      <c r="C152" s="342" t="s">
        <v>740</v>
      </c>
      <c r="D152" s="342" t="s">
        <v>920</v>
      </c>
      <c r="E152" s="342" t="s">
        <v>474</v>
      </c>
      <c r="F152" s="342" t="s">
        <v>921</v>
      </c>
      <c r="G152" s="342" t="s">
        <v>805</v>
      </c>
      <c r="H152" s="342" t="s">
        <v>806</v>
      </c>
    </row>
    <row r="153" spans="1:8" x14ac:dyDescent="0.25">
      <c r="A153" s="343">
        <v>551</v>
      </c>
      <c r="B153" s="343">
        <v>64064</v>
      </c>
      <c r="C153" s="342" t="s">
        <v>692</v>
      </c>
      <c r="D153" s="342" t="s">
        <v>901</v>
      </c>
      <c r="E153" s="342" t="s">
        <v>521</v>
      </c>
      <c r="F153" s="342" t="s">
        <v>922</v>
      </c>
      <c r="G153" s="342" t="s">
        <v>737</v>
      </c>
      <c r="H153" s="342" t="s">
        <v>738</v>
      </c>
    </row>
    <row r="154" spans="1:8" x14ac:dyDescent="0.25">
      <c r="A154" s="343">
        <v>598</v>
      </c>
      <c r="B154" s="343">
        <v>49673</v>
      </c>
      <c r="C154" s="342" t="s">
        <v>706</v>
      </c>
      <c r="D154" s="342" t="s">
        <v>907</v>
      </c>
      <c r="E154" s="342" t="s">
        <v>618</v>
      </c>
      <c r="F154" s="342" t="s">
        <v>923</v>
      </c>
      <c r="G154" s="342" t="s">
        <v>695</v>
      </c>
      <c r="H154" s="342" t="s">
        <v>705</v>
      </c>
    </row>
    <row r="155" spans="1:8" x14ac:dyDescent="0.25">
      <c r="A155" s="343">
        <v>652</v>
      </c>
      <c r="B155" s="343">
        <v>63964</v>
      </c>
      <c r="C155" s="342" t="s">
        <v>832</v>
      </c>
      <c r="D155" s="342" t="s">
        <v>897</v>
      </c>
      <c r="E155" s="342" t="s">
        <v>505</v>
      </c>
      <c r="F155" s="342" t="s">
        <v>924</v>
      </c>
      <c r="G155" s="342" t="s">
        <v>695</v>
      </c>
      <c r="H155" s="342" t="s">
        <v>710</v>
      </c>
    </row>
    <row r="156" spans="1:8" x14ac:dyDescent="0.25">
      <c r="A156" s="343">
        <v>696</v>
      </c>
      <c r="B156" s="343">
        <v>17</v>
      </c>
      <c r="C156" s="342" t="s">
        <v>740</v>
      </c>
      <c r="D156" s="342" t="s">
        <v>765</v>
      </c>
      <c r="E156" s="342" t="s">
        <v>482</v>
      </c>
      <c r="F156" s="342" t="s">
        <v>925</v>
      </c>
      <c r="G156" s="342" t="s">
        <v>695</v>
      </c>
      <c r="H156" s="342" t="s">
        <v>726</v>
      </c>
    </row>
    <row r="157" spans="1:8" x14ac:dyDescent="0.25">
      <c r="A157" s="343">
        <v>770</v>
      </c>
      <c r="B157" s="343">
        <v>63954</v>
      </c>
      <c r="C157" s="342" t="s">
        <v>767</v>
      </c>
      <c r="D157" s="342" t="s">
        <v>895</v>
      </c>
      <c r="E157" s="342" t="s">
        <v>503</v>
      </c>
      <c r="F157" s="342" t="s">
        <v>926</v>
      </c>
      <c r="G157" s="342" t="s">
        <v>695</v>
      </c>
      <c r="H157" s="342" t="s">
        <v>726</v>
      </c>
    </row>
    <row r="158" spans="1:8" x14ac:dyDescent="0.25">
      <c r="A158" s="343">
        <v>825</v>
      </c>
      <c r="B158" s="343">
        <v>63899</v>
      </c>
      <c r="C158" s="342" t="s">
        <v>832</v>
      </c>
      <c r="D158" s="342" t="s">
        <v>833</v>
      </c>
      <c r="E158" s="342" t="s">
        <v>562</v>
      </c>
      <c r="F158" s="342" t="s">
        <v>927</v>
      </c>
      <c r="G158" s="342" t="s">
        <v>695</v>
      </c>
      <c r="H158" s="342" t="s">
        <v>734</v>
      </c>
    </row>
    <row r="159" spans="1:8" x14ac:dyDescent="0.25">
      <c r="A159" s="343">
        <v>900</v>
      </c>
      <c r="B159" s="343">
        <v>45819</v>
      </c>
      <c r="C159" s="342" t="s">
        <v>832</v>
      </c>
      <c r="D159" s="342" t="s">
        <v>928</v>
      </c>
      <c r="E159" s="342" t="s">
        <v>427</v>
      </c>
      <c r="F159" s="342" t="s">
        <v>929</v>
      </c>
      <c r="G159" s="342" t="s">
        <v>695</v>
      </c>
      <c r="H159" s="342" t="s">
        <v>696</v>
      </c>
    </row>
    <row r="160" spans="1:8" x14ac:dyDescent="0.25">
      <c r="A160" s="343">
        <v>942</v>
      </c>
      <c r="B160" s="343">
        <v>13786</v>
      </c>
      <c r="C160" s="342" t="s">
        <v>697</v>
      </c>
      <c r="D160" s="342" t="s">
        <v>714</v>
      </c>
      <c r="E160" s="342" t="s">
        <v>374</v>
      </c>
      <c r="F160" s="342" t="s">
        <v>930</v>
      </c>
      <c r="G160" s="342" t="s">
        <v>805</v>
      </c>
      <c r="H160" s="342" t="s">
        <v>813</v>
      </c>
    </row>
    <row r="161" spans="1:8" x14ac:dyDescent="0.25">
      <c r="A161" s="343">
        <v>1022</v>
      </c>
      <c r="B161" s="343">
        <v>67836</v>
      </c>
      <c r="C161" s="342" t="s">
        <v>832</v>
      </c>
      <c r="D161" s="342" t="s">
        <v>909</v>
      </c>
      <c r="E161" s="342" t="s">
        <v>424</v>
      </c>
      <c r="F161" s="342" t="s">
        <v>931</v>
      </c>
      <c r="G161" s="342" t="s">
        <v>695</v>
      </c>
      <c r="H161" s="342" t="s">
        <v>696</v>
      </c>
    </row>
    <row r="162" spans="1:8" x14ac:dyDescent="0.25">
      <c r="A162" s="343">
        <v>27</v>
      </c>
      <c r="B162" s="343">
        <v>238</v>
      </c>
      <c r="C162" s="342" t="s">
        <v>832</v>
      </c>
      <c r="D162" s="342" t="s">
        <v>837</v>
      </c>
      <c r="E162" s="342" t="s">
        <v>386</v>
      </c>
      <c r="F162" s="342" t="s">
        <v>932</v>
      </c>
      <c r="G162" s="342" t="s">
        <v>695</v>
      </c>
      <c r="H162" s="342" t="s">
        <v>696</v>
      </c>
    </row>
    <row r="163" spans="1:8" x14ac:dyDescent="0.25">
      <c r="A163" s="343">
        <v>31</v>
      </c>
      <c r="B163" s="343">
        <v>47</v>
      </c>
      <c r="C163" s="342" t="s">
        <v>779</v>
      </c>
      <c r="D163" s="342" t="s">
        <v>780</v>
      </c>
      <c r="E163" s="342" t="s">
        <v>391</v>
      </c>
      <c r="F163" s="342" t="s">
        <v>933</v>
      </c>
      <c r="G163" s="342" t="s">
        <v>695</v>
      </c>
      <c r="H163" s="342" t="s">
        <v>696</v>
      </c>
    </row>
    <row r="164" spans="1:8" x14ac:dyDescent="0.25">
      <c r="A164" s="343">
        <v>48</v>
      </c>
      <c r="B164" s="343">
        <v>36</v>
      </c>
      <c r="C164" s="342" t="s">
        <v>701</v>
      </c>
      <c r="D164" s="342" t="s">
        <v>749</v>
      </c>
      <c r="E164" s="342" t="s">
        <v>408</v>
      </c>
      <c r="F164" s="342" t="s">
        <v>934</v>
      </c>
      <c r="G164" s="342" t="s">
        <v>695</v>
      </c>
      <c r="H164" s="342" t="s">
        <v>696</v>
      </c>
    </row>
    <row r="165" spans="1:8" x14ac:dyDescent="0.25">
      <c r="A165" s="343">
        <v>58</v>
      </c>
      <c r="B165" s="343">
        <v>45777</v>
      </c>
      <c r="C165" s="342" t="s">
        <v>706</v>
      </c>
      <c r="D165" s="342" t="s">
        <v>907</v>
      </c>
      <c r="E165" s="342" t="s">
        <v>419</v>
      </c>
      <c r="F165" s="342" t="s">
        <v>935</v>
      </c>
      <c r="G165" s="342" t="s">
        <v>695</v>
      </c>
      <c r="H165" s="342" t="s">
        <v>696</v>
      </c>
    </row>
    <row r="166" spans="1:8" x14ac:dyDescent="0.25">
      <c r="A166" s="343">
        <v>74</v>
      </c>
      <c r="B166" s="343">
        <v>170</v>
      </c>
      <c r="C166" s="342" t="s">
        <v>832</v>
      </c>
      <c r="D166" s="342" t="s">
        <v>897</v>
      </c>
      <c r="E166" s="342" t="s">
        <v>437</v>
      </c>
      <c r="F166" s="342" t="s">
        <v>936</v>
      </c>
      <c r="G166" s="342" t="s">
        <v>695</v>
      </c>
      <c r="H166" s="342" t="s">
        <v>696</v>
      </c>
    </row>
    <row r="167" spans="1:8" x14ac:dyDescent="0.25">
      <c r="A167" s="343">
        <v>79</v>
      </c>
      <c r="B167" s="343">
        <v>48936</v>
      </c>
      <c r="C167" s="342" t="s">
        <v>692</v>
      </c>
      <c r="D167" s="342" t="s">
        <v>865</v>
      </c>
      <c r="E167" s="342" t="s">
        <v>442</v>
      </c>
      <c r="F167" s="342" t="s">
        <v>937</v>
      </c>
      <c r="G167" s="342" t="s">
        <v>695</v>
      </c>
      <c r="H167" s="342" t="s">
        <v>696</v>
      </c>
    </row>
    <row r="168" spans="1:8" x14ac:dyDescent="0.25">
      <c r="A168" s="343">
        <v>84</v>
      </c>
      <c r="B168" s="343">
        <v>257</v>
      </c>
      <c r="C168" s="342" t="s">
        <v>692</v>
      </c>
      <c r="D168" s="342" t="s">
        <v>803</v>
      </c>
      <c r="E168" s="342" t="s">
        <v>447</v>
      </c>
      <c r="F168" s="342" t="s">
        <v>938</v>
      </c>
      <c r="G168" s="342" t="s">
        <v>695</v>
      </c>
      <c r="H168" s="342" t="s">
        <v>696</v>
      </c>
    </row>
    <row r="169" spans="1:8" x14ac:dyDescent="0.25">
      <c r="A169" s="343">
        <v>97</v>
      </c>
      <c r="B169" s="343">
        <v>48655</v>
      </c>
      <c r="C169" s="342" t="s">
        <v>767</v>
      </c>
      <c r="D169" s="342" t="s">
        <v>939</v>
      </c>
      <c r="E169" s="342" t="s">
        <v>461</v>
      </c>
      <c r="F169" s="342" t="s">
        <v>940</v>
      </c>
      <c r="G169" s="342" t="s">
        <v>695</v>
      </c>
      <c r="H169" s="342" t="s">
        <v>696</v>
      </c>
    </row>
    <row r="170" spans="1:8" x14ac:dyDescent="0.25">
      <c r="A170" s="343">
        <v>98</v>
      </c>
      <c r="B170" s="343">
        <v>48960</v>
      </c>
      <c r="C170" s="342" t="s">
        <v>822</v>
      </c>
      <c r="D170" s="342" t="s">
        <v>823</v>
      </c>
      <c r="E170" s="342" t="s">
        <v>462</v>
      </c>
      <c r="F170" s="342" t="s">
        <v>941</v>
      </c>
      <c r="G170" s="342" t="s">
        <v>695</v>
      </c>
      <c r="H170" s="342" t="s">
        <v>696</v>
      </c>
    </row>
    <row r="171" spans="1:8" x14ac:dyDescent="0.25">
      <c r="A171" s="343">
        <v>128</v>
      </c>
      <c r="B171" s="343">
        <v>48962</v>
      </c>
      <c r="C171" s="342" t="s">
        <v>701</v>
      </c>
      <c r="D171" s="342" t="s">
        <v>727</v>
      </c>
      <c r="E171" s="342" t="s">
        <v>491</v>
      </c>
      <c r="F171" s="342" t="s">
        <v>942</v>
      </c>
      <c r="G171" s="342" t="s">
        <v>695</v>
      </c>
      <c r="H171" s="342" t="s">
        <v>696</v>
      </c>
    </row>
    <row r="172" spans="1:8" x14ac:dyDescent="0.25">
      <c r="A172" s="343">
        <v>132</v>
      </c>
      <c r="B172" s="343">
        <v>54836</v>
      </c>
      <c r="C172" s="342" t="s">
        <v>767</v>
      </c>
      <c r="D172" s="342" t="s">
        <v>892</v>
      </c>
      <c r="E172" s="342" t="s">
        <v>496</v>
      </c>
      <c r="F172" s="342" t="s">
        <v>943</v>
      </c>
      <c r="G172" s="342" t="s">
        <v>695</v>
      </c>
      <c r="H172" s="342" t="s">
        <v>696</v>
      </c>
    </row>
    <row r="173" spans="1:8" x14ac:dyDescent="0.25">
      <c r="A173" s="343">
        <v>161</v>
      </c>
      <c r="B173" s="343">
        <v>252</v>
      </c>
      <c r="C173" s="342" t="s">
        <v>692</v>
      </c>
      <c r="D173" s="342" t="s">
        <v>827</v>
      </c>
      <c r="E173" s="342" t="s">
        <v>526</v>
      </c>
      <c r="F173" s="342" t="s">
        <v>944</v>
      </c>
      <c r="G173" s="342" t="s">
        <v>695</v>
      </c>
      <c r="H173" s="342" t="s">
        <v>696</v>
      </c>
    </row>
    <row r="174" spans="1:8" x14ac:dyDescent="0.25">
      <c r="A174" s="343">
        <v>164</v>
      </c>
      <c r="B174" s="343">
        <v>285</v>
      </c>
      <c r="C174" s="342" t="s">
        <v>779</v>
      </c>
      <c r="D174" s="342" t="s">
        <v>858</v>
      </c>
      <c r="E174" s="342" t="s">
        <v>529</v>
      </c>
      <c r="F174" s="342" t="s">
        <v>945</v>
      </c>
      <c r="G174" s="342" t="s">
        <v>695</v>
      </c>
      <c r="H174" s="342" t="s">
        <v>696</v>
      </c>
    </row>
    <row r="175" spans="1:8" x14ac:dyDescent="0.25">
      <c r="A175" s="343">
        <v>184</v>
      </c>
      <c r="B175" s="343">
        <v>134</v>
      </c>
      <c r="C175" s="342" t="s">
        <v>706</v>
      </c>
      <c r="D175" s="342" t="s">
        <v>847</v>
      </c>
      <c r="E175" s="342" t="s">
        <v>549</v>
      </c>
      <c r="F175" s="342" t="s">
        <v>946</v>
      </c>
      <c r="G175" s="342" t="s">
        <v>695</v>
      </c>
      <c r="H175" s="342" t="s">
        <v>696</v>
      </c>
    </row>
    <row r="176" spans="1:8" x14ac:dyDescent="0.25">
      <c r="A176" s="343">
        <v>195</v>
      </c>
      <c r="B176" s="343">
        <v>64260</v>
      </c>
      <c r="C176" s="342" t="s">
        <v>789</v>
      </c>
      <c r="D176" s="342" t="s">
        <v>947</v>
      </c>
      <c r="E176" s="342" t="s">
        <v>561</v>
      </c>
      <c r="F176" s="342" t="s">
        <v>948</v>
      </c>
      <c r="G176" s="342" t="s">
        <v>695</v>
      </c>
      <c r="H176" s="342" t="s">
        <v>696</v>
      </c>
    </row>
    <row r="177" spans="1:8" x14ac:dyDescent="0.25">
      <c r="A177" s="343">
        <v>200</v>
      </c>
      <c r="B177" s="343">
        <v>48965</v>
      </c>
      <c r="C177" s="342" t="s">
        <v>706</v>
      </c>
      <c r="D177" s="342" t="s">
        <v>720</v>
      </c>
      <c r="E177" s="342" t="s">
        <v>566</v>
      </c>
      <c r="F177" s="342" t="s">
        <v>949</v>
      </c>
      <c r="G177" s="342" t="s">
        <v>695</v>
      </c>
      <c r="H177" s="342" t="s">
        <v>696</v>
      </c>
    </row>
    <row r="178" spans="1:8" x14ac:dyDescent="0.25">
      <c r="A178" s="343">
        <v>211</v>
      </c>
      <c r="B178" s="343">
        <v>64754</v>
      </c>
      <c r="C178" s="342" t="s">
        <v>789</v>
      </c>
      <c r="D178" s="342" t="s">
        <v>790</v>
      </c>
      <c r="E178" s="342" t="s">
        <v>578</v>
      </c>
      <c r="F178" s="342" t="s">
        <v>950</v>
      </c>
      <c r="G178" s="342" t="s">
        <v>695</v>
      </c>
      <c r="H178" s="342" t="s">
        <v>696</v>
      </c>
    </row>
    <row r="179" spans="1:8" x14ac:dyDescent="0.25">
      <c r="A179" s="343">
        <v>248</v>
      </c>
      <c r="B179" s="343">
        <v>64273</v>
      </c>
      <c r="C179" s="342" t="s">
        <v>701</v>
      </c>
      <c r="D179" s="342" t="s">
        <v>763</v>
      </c>
      <c r="E179" s="342" t="s">
        <v>853</v>
      </c>
      <c r="F179" s="342" t="s">
        <v>951</v>
      </c>
      <c r="G179" s="342" t="s">
        <v>695</v>
      </c>
      <c r="H179" s="342" t="s">
        <v>696</v>
      </c>
    </row>
    <row r="180" spans="1:8" x14ac:dyDescent="0.25">
      <c r="A180" s="343">
        <v>265</v>
      </c>
      <c r="B180" s="343">
        <v>64752</v>
      </c>
      <c r="C180" s="342" t="s">
        <v>767</v>
      </c>
      <c r="D180" s="342" t="s">
        <v>770</v>
      </c>
      <c r="E180" s="342" t="s">
        <v>634</v>
      </c>
      <c r="F180" s="342" t="s">
        <v>952</v>
      </c>
      <c r="G180" s="342" t="s">
        <v>695</v>
      </c>
      <c r="H180" s="342" t="s">
        <v>696</v>
      </c>
    </row>
    <row r="181" spans="1:8" x14ac:dyDescent="0.25">
      <c r="A181" s="343">
        <v>277</v>
      </c>
      <c r="B181" s="343">
        <v>63906</v>
      </c>
      <c r="C181" s="342" t="s">
        <v>767</v>
      </c>
      <c r="D181" s="342" t="s">
        <v>953</v>
      </c>
      <c r="E181" s="342" t="s">
        <v>647</v>
      </c>
      <c r="F181" s="342" t="s">
        <v>954</v>
      </c>
      <c r="G181" s="342" t="s">
        <v>695</v>
      </c>
      <c r="H181" s="342" t="s">
        <v>696</v>
      </c>
    </row>
    <row r="182" spans="1:8" x14ac:dyDescent="0.25">
      <c r="A182" s="343">
        <v>290</v>
      </c>
      <c r="B182" s="343">
        <v>143</v>
      </c>
      <c r="C182" s="342" t="s">
        <v>706</v>
      </c>
      <c r="D182" s="342" t="s">
        <v>720</v>
      </c>
      <c r="E182" s="342" t="s">
        <v>660</v>
      </c>
      <c r="F182" s="342" t="s">
        <v>955</v>
      </c>
      <c r="G182" s="342" t="s">
        <v>695</v>
      </c>
      <c r="H182" s="342" t="s">
        <v>696</v>
      </c>
    </row>
    <row r="183" spans="1:8" x14ac:dyDescent="0.25">
      <c r="A183" s="343">
        <v>302</v>
      </c>
      <c r="B183" s="343">
        <v>64321</v>
      </c>
      <c r="C183" s="342" t="s">
        <v>779</v>
      </c>
      <c r="D183" s="342" t="s">
        <v>956</v>
      </c>
      <c r="E183" s="342" t="s">
        <v>671</v>
      </c>
      <c r="F183" s="342" t="s">
        <v>957</v>
      </c>
      <c r="G183" s="342" t="s">
        <v>695</v>
      </c>
      <c r="H183" s="342" t="s">
        <v>696</v>
      </c>
    </row>
    <row r="184" spans="1:8" x14ac:dyDescent="0.25">
      <c r="A184" s="343">
        <v>314</v>
      </c>
      <c r="B184" s="343">
        <v>6</v>
      </c>
      <c r="C184" s="342" t="s">
        <v>692</v>
      </c>
      <c r="D184" s="342" t="s">
        <v>693</v>
      </c>
      <c r="E184" s="342" t="s">
        <v>643</v>
      </c>
      <c r="F184" s="342" t="s">
        <v>958</v>
      </c>
      <c r="G184" s="342" t="s">
        <v>695</v>
      </c>
      <c r="H184" s="342" t="s">
        <v>696</v>
      </c>
    </row>
    <row r="185" spans="1:8" x14ac:dyDescent="0.25">
      <c r="A185" s="343">
        <v>316</v>
      </c>
      <c r="B185" s="343">
        <v>290</v>
      </c>
      <c r="C185" s="342" t="s">
        <v>692</v>
      </c>
      <c r="D185" s="342" t="s">
        <v>693</v>
      </c>
      <c r="E185" s="342" t="s">
        <v>643</v>
      </c>
      <c r="F185" s="342" t="s">
        <v>959</v>
      </c>
      <c r="G185" s="342" t="s">
        <v>695</v>
      </c>
      <c r="H185" s="342" t="s">
        <v>696</v>
      </c>
    </row>
    <row r="186" spans="1:8" x14ac:dyDescent="0.25">
      <c r="A186" s="343">
        <v>331</v>
      </c>
      <c r="B186" s="343">
        <v>64059</v>
      </c>
      <c r="C186" s="342" t="s">
        <v>697</v>
      </c>
      <c r="D186" s="342" t="s">
        <v>714</v>
      </c>
      <c r="E186" s="342" t="s">
        <v>522</v>
      </c>
      <c r="F186" s="342" t="s">
        <v>960</v>
      </c>
      <c r="G186" s="342" t="s">
        <v>695</v>
      </c>
      <c r="H186" s="342" t="s">
        <v>726</v>
      </c>
    </row>
    <row r="187" spans="1:8" x14ac:dyDescent="0.25">
      <c r="A187" s="343">
        <v>333</v>
      </c>
      <c r="B187" s="343">
        <v>64254</v>
      </c>
      <c r="C187" s="342" t="s">
        <v>706</v>
      </c>
      <c r="D187" s="342" t="s">
        <v>720</v>
      </c>
      <c r="E187" s="342" t="s">
        <v>660</v>
      </c>
      <c r="F187" s="342" t="s">
        <v>961</v>
      </c>
      <c r="G187" s="342" t="s">
        <v>805</v>
      </c>
      <c r="H187" s="342" t="s">
        <v>962</v>
      </c>
    </row>
    <row r="188" spans="1:8" x14ac:dyDescent="0.25">
      <c r="A188" s="343">
        <v>345</v>
      </c>
      <c r="B188" s="343">
        <v>139</v>
      </c>
      <c r="C188" s="342" t="s">
        <v>740</v>
      </c>
      <c r="D188" s="342" t="s">
        <v>963</v>
      </c>
      <c r="E188" s="342" t="s">
        <v>367</v>
      </c>
      <c r="F188" s="342" t="s">
        <v>964</v>
      </c>
      <c r="G188" s="342" t="s">
        <v>695</v>
      </c>
      <c r="H188" s="342" t="s">
        <v>696</v>
      </c>
    </row>
    <row r="189" spans="1:8" x14ac:dyDescent="0.25">
      <c r="A189" s="343">
        <v>347</v>
      </c>
      <c r="B189" s="343">
        <v>141</v>
      </c>
      <c r="C189" s="342" t="s">
        <v>692</v>
      </c>
      <c r="D189" s="342" t="s">
        <v>693</v>
      </c>
      <c r="E189" s="342" t="s">
        <v>643</v>
      </c>
      <c r="F189" s="342" t="s">
        <v>965</v>
      </c>
      <c r="G189" s="342" t="s">
        <v>695</v>
      </c>
      <c r="H189" s="342" t="s">
        <v>966</v>
      </c>
    </row>
    <row r="190" spans="1:8" x14ac:dyDescent="0.25">
      <c r="A190" s="343">
        <v>377</v>
      </c>
      <c r="B190" s="343">
        <v>63797</v>
      </c>
      <c r="C190" s="342" t="s">
        <v>697</v>
      </c>
      <c r="D190" s="342" t="s">
        <v>714</v>
      </c>
      <c r="E190" s="342" t="s">
        <v>374</v>
      </c>
      <c r="F190" s="342" t="s">
        <v>967</v>
      </c>
      <c r="G190" s="342" t="s">
        <v>695</v>
      </c>
      <c r="H190" s="342" t="s">
        <v>705</v>
      </c>
    </row>
    <row r="191" spans="1:8" x14ac:dyDescent="0.25">
      <c r="A191" s="343">
        <v>386</v>
      </c>
      <c r="B191" s="343">
        <v>64020</v>
      </c>
      <c r="C191" s="342" t="s">
        <v>701</v>
      </c>
      <c r="D191" s="342" t="s">
        <v>727</v>
      </c>
      <c r="E191" s="342" t="s">
        <v>507</v>
      </c>
      <c r="F191" s="342" t="s">
        <v>968</v>
      </c>
      <c r="G191" s="342" t="s">
        <v>695</v>
      </c>
      <c r="H191" s="342" t="s">
        <v>734</v>
      </c>
    </row>
    <row r="192" spans="1:8" x14ac:dyDescent="0.25">
      <c r="A192" s="343">
        <v>396</v>
      </c>
      <c r="B192" s="343">
        <v>64033</v>
      </c>
      <c r="C192" s="342" t="s">
        <v>692</v>
      </c>
      <c r="D192" s="342" t="s">
        <v>693</v>
      </c>
      <c r="E192" s="342" t="s">
        <v>643</v>
      </c>
      <c r="F192" s="342" t="s">
        <v>969</v>
      </c>
      <c r="G192" s="342" t="s">
        <v>695</v>
      </c>
      <c r="H192" s="342" t="s">
        <v>705</v>
      </c>
    </row>
    <row r="193" spans="1:8" x14ac:dyDescent="0.25">
      <c r="A193" s="343">
        <v>426</v>
      </c>
      <c r="B193" s="343">
        <v>64231</v>
      </c>
      <c r="C193" s="342" t="s">
        <v>692</v>
      </c>
      <c r="D193" s="342" t="s">
        <v>803</v>
      </c>
      <c r="E193" s="342" t="s">
        <v>588</v>
      </c>
      <c r="F193" s="342" t="s">
        <v>970</v>
      </c>
      <c r="G193" s="342" t="s">
        <v>695</v>
      </c>
      <c r="H193" s="342" t="s">
        <v>734</v>
      </c>
    </row>
    <row r="194" spans="1:8" x14ac:dyDescent="0.25">
      <c r="A194" s="343">
        <v>433</v>
      </c>
      <c r="B194" s="343">
        <v>64145</v>
      </c>
      <c r="C194" s="342" t="s">
        <v>822</v>
      </c>
      <c r="D194" s="342" t="s">
        <v>823</v>
      </c>
      <c r="E194" s="342" t="s">
        <v>462</v>
      </c>
      <c r="F194" s="342" t="s">
        <v>971</v>
      </c>
      <c r="G194" s="342" t="s">
        <v>805</v>
      </c>
      <c r="H194" s="342" t="s">
        <v>883</v>
      </c>
    </row>
    <row r="195" spans="1:8" x14ac:dyDescent="0.25">
      <c r="A195" s="343">
        <v>437</v>
      </c>
      <c r="B195" s="343">
        <v>64267</v>
      </c>
      <c r="C195" s="342" t="s">
        <v>692</v>
      </c>
      <c r="D195" s="342" t="s">
        <v>693</v>
      </c>
      <c r="E195" s="342" t="s">
        <v>643</v>
      </c>
      <c r="F195" s="342" t="s">
        <v>972</v>
      </c>
      <c r="G195" s="342" t="s">
        <v>695</v>
      </c>
      <c r="H195" s="342" t="s">
        <v>973</v>
      </c>
    </row>
    <row r="196" spans="1:8" x14ac:dyDescent="0.25">
      <c r="A196" s="343">
        <v>447</v>
      </c>
      <c r="B196" s="343">
        <v>63932</v>
      </c>
      <c r="C196" s="342" t="s">
        <v>740</v>
      </c>
      <c r="D196" s="342" t="s">
        <v>920</v>
      </c>
      <c r="E196" s="342" t="s">
        <v>474</v>
      </c>
      <c r="F196" s="342" t="s">
        <v>974</v>
      </c>
      <c r="G196" s="342" t="s">
        <v>695</v>
      </c>
      <c r="H196" s="342" t="s">
        <v>705</v>
      </c>
    </row>
    <row r="197" spans="1:8" x14ac:dyDescent="0.25">
      <c r="A197" s="343">
        <v>448</v>
      </c>
      <c r="B197" s="343">
        <v>63933</v>
      </c>
      <c r="C197" s="342" t="s">
        <v>740</v>
      </c>
      <c r="D197" s="342" t="s">
        <v>920</v>
      </c>
      <c r="E197" s="342" t="s">
        <v>474</v>
      </c>
      <c r="F197" s="342" t="s">
        <v>975</v>
      </c>
      <c r="G197" s="342" t="s">
        <v>695</v>
      </c>
      <c r="H197" s="342" t="s">
        <v>734</v>
      </c>
    </row>
    <row r="198" spans="1:8" x14ac:dyDescent="0.25">
      <c r="A198" s="343">
        <v>458</v>
      </c>
      <c r="B198" s="343">
        <v>63874</v>
      </c>
      <c r="C198" s="342" t="s">
        <v>706</v>
      </c>
      <c r="D198" s="342" t="s">
        <v>907</v>
      </c>
      <c r="E198" s="342" t="s">
        <v>419</v>
      </c>
      <c r="F198" s="342" t="s">
        <v>976</v>
      </c>
      <c r="G198" s="342" t="s">
        <v>695</v>
      </c>
      <c r="H198" s="342" t="s">
        <v>734</v>
      </c>
    </row>
    <row r="199" spans="1:8" x14ac:dyDescent="0.25">
      <c r="A199" s="343">
        <v>495</v>
      </c>
      <c r="B199" s="343">
        <v>64146</v>
      </c>
      <c r="C199" s="342" t="s">
        <v>822</v>
      </c>
      <c r="D199" s="342" t="s">
        <v>823</v>
      </c>
      <c r="E199" s="342" t="s">
        <v>462</v>
      </c>
      <c r="F199" s="342" t="s">
        <v>977</v>
      </c>
      <c r="G199" s="342" t="s">
        <v>695</v>
      </c>
      <c r="H199" s="342" t="s">
        <v>787</v>
      </c>
    </row>
    <row r="200" spans="1:8" x14ac:dyDescent="0.25">
      <c r="A200" s="343">
        <v>522</v>
      </c>
      <c r="B200" s="343">
        <v>48912</v>
      </c>
      <c r="C200" s="342" t="s">
        <v>701</v>
      </c>
      <c r="D200" s="342" t="s">
        <v>845</v>
      </c>
      <c r="E200" s="342" t="s">
        <v>370</v>
      </c>
      <c r="F200" s="342" t="s">
        <v>978</v>
      </c>
      <c r="G200" s="342" t="s">
        <v>805</v>
      </c>
      <c r="H200" s="342" t="s">
        <v>883</v>
      </c>
    </row>
    <row r="201" spans="1:8" x14ac:dyDescent="0.25">
      <c r="A201" s="343">
        <v>539</v>
      </c>
      <c r="B201" s="343">
        <v>63830</v>
      </c>
      <c r="C201" s="342" t="s">
        <v>767</v>
      </c>
      <c r="D201" s="342" t="s">
        <v>939</v>
      </c>
      <c r="E201" s="342" t="s">
        <v>537</v>
      </c>
      <c r="F201" s="342" t="s">
        <v>979</v>
      </c>
      <c r="G201" s="342" t="s">
        <v>695</v>
      </c>
      <c r="H201" s="342" t="s">
        <v>705</v>
      </c>
    </row>
    <row r="202" spans="1:8" x14ac:dyDescent="0.25">
      <c r="A202" s="343">
        <v>557</v>
      </c>
      <c r="B202" s="343">
        <v>64082</v>
      </c>
      <c r="C202" s="342" t="s">
        <v>779</v>
      </c>
      <c r="D202" s="342" t="s">
        <v>858</v>
      </c>
      <c r="E202" s="342" t="s">
        <v>529</v>
      </c>
      <c r="F202" s="342" t="s">
        <v>980</v>
      </c>
      <c r="G202" s="342" t="s">
        <v>695</v>
      </c>
      <c r="H202" s="342" t="s">
        <v>705</v>
      </c>
    </row>
    <row r="203" spans="1:8" x14ac:dyDescent="0.25">
      <c r="A203" s="343">
        <v>567</v>
      </c>
      <c r="B203" s="343">
        <v>64137</v>
      </c>
      <c r="C203" s="342" t="s">
        <v>832</v>
      </c>
      <c r="D203" s="342" t="s">
        <v>837</v>
      </c>
      <c r="E203" s="342" t="s">
        <v>386</v>
      </c>
      <c r="F203" s="342" t="s">
        <v>981</v>
      </c>
      <c r="G203" s="342" t="s">
        <v>695</v>
      </c>
      <c r="H203" s="342" t="s">
        <v>710</v>
      </c>
    </row>
    <row r="204" spans="1:8" x14ac:dyDescent="0.25">
      <c r="A204" s="343">
        <v>591</v>
      </c>
      <c r="B204" s="343">
        <v>63908</v>
      </c>
      <c r="C204" s="342" t="s">
        <v>767</v>
      </c>
      <c r="D204" s="342" t="s">
        <v>953</v>
      </c>
      <c r="E204" s="342" t="s">
        <v>647</v>
      </c>
      <c r="F204" s="342" t="s">
        <v>982</v>
      </c>
      <c r="G204" s="342" t="s">
        <v>737</v>
      </c>
      <c r="H204" s="342" t="s">
        <v>738</v>
      </c>
    </row>
    <row r="205" spans="1:8" x14ac:dyDescent="0.25">
      <c r="A205" s="343">
        <v>596</v>
      </c>
      <c r="B205" s="343">
        <v>43025</v>
      </c>
      <c r="C205" s="342" t="s">
        <v>706</v>
      </c>
      <c r="D205" s="342" t="s">
        <v>907</v>
      </c>
      <c r="E205" s="342" t="s">
        <v>419</v>
      </c>
      <c r="F205" s="342" t="s">
        <v>983</v>
      </c>
      <c r="G205" s="342" t="s">
        <v>695</v>
      </c>
      <c r="H205" s="342" t="s">
        <v>726</v>
      </c>
    </row>
    <row r="206" spans="1:8" x14ac:dyDescent="0.25">
      <c r="A206" s="343">
        <v>605</v>
      </c>
      <c r="B206" s="343">
        <v>63767</v>
      </c>
      <c r="C206" s="342" t="s">
        <v>701</v>
      </c>
      <c r="D206" s="342" t="s">
        <v>845</v>
      </c>
      <c r="E206" s="342" t="s">
        <v>370</v>
      </c>
      <c r="F206" s="342" t="s">
        <v>984</v>
      </c>
      <c r="G206" s="342" t="s">
        <v>805</v>
      </c>
      <c r="H206" s="342" t="s">
        <v>806</v>
      </c>
    </row>
    <row r="207" spans="1:8" x14ac:dyDescent="0.25">
      <c r="A207" s="343">
        <v>633</v>
      </c>
      <c r="B207" s="343">
        <v>64740</v>
      </c>
      <c r="C207" s="342" t="s">
        <v>697</v>
      </c>
      <c r="D207" s="342" t="s">
        <v>877</v>
      </c>
      <c r="E207" s="342" t="s">
        <v>665</v>
      </c>
      <c r="F207" s="342" t="s">
        <v>985</v>
      </c>
      <c r="G207" s="342" t="s">
        <v>695</v>
      </c>
      <c r="H207" s="342" t="s">
        <v>696</v>
      </c>
    </row>
    <row r="208" spans="1:8" x14ac:dyDescent="0.25">
      <c r="A208" s="343">
        <v>688</v>
      </c>
      <c r="B208" s="343">
        <v>63896</v>
      </c>
      <c r="C208" s="342" t="s">
        <v>767</v>
      </c>
      <c r="D208" s="342" t="s">
        <v>860</v>
      </c>
      <c r="E208" s="342" t="s">
        <v>449</v>
      </c>
      <c r="F208" s="342" t="s">
        <v>986</v>
      </c>
      <c r="G208" s="342" t="s">
        <v>805</v>
      </c>
      <c r="H208" s="342" t="s">
        <v>806</v>
      </c>
    </row>
    <row r="209" spans="1:8" x14ac:dyDescent="0.25">
      <c r="A209" s="343">
        <v>710</v>
      </c>
      <c r="B209" s="343">
        <v>54840</v>
      </c>
      <c r="C209" s="342" t="s">
        <v>767</v>
      </c>
      <c r="D209" s="342" t="s">
        <v>939</v>
      </c>
      <c r="E209" s="342" t="s">
        <v>537</v>
      </c>
      <c r="F209" s="342" t="s">
        <v>987</v>
      </c>
      <c r="G209" s="342" t="s">
        <v>695</v>
      </c>
      <c r="H209" s="342" t="s">
        <v>726</v>
      </c>
    </row>
    <row r="210" spans="1:8" x14ac:dyDescent="0.25">
      <c r="A210" s="343">
        <v>720</v>
      </c>
      <c r="B210" s="343">
        <v>64229</v>
      </c>
      <c r="C210" s="342" t="s">
        <v>740</v>
      </c>
      <c r="D210" s="342" t="s">
        <v>741</v>
      </c>
      <c r="E210" s="342" t="s">
        <v>574</v>
      </c>
      <c r="F210" s="342" t="s">
        <v>988</v>
      </c>
      <c r="G210" s="342" t="s">
        <v>695</v>
      </c>
      <c r="H210" s="342" t="s">
        <v>726</v>
      </c>
    </row>
    <row r="211" spans="1:8" x14ac:dyDescent="0.25">
      <c r="A211" s="343">
        <v>732</v>
      </c>
      <c r="B211" s="343">
        <v>64742</v>
      </c>
      <c r="C211" s="342" t="s">
        <v>779</v>
      </c>
      <c r="D211" s="342" t="s">
        <v>956</v>
      </c>
      <c r="E211" s="342" t="s">
        <v>671</v>
      </c>
      <c r="F211" s="342" t="s">
        <v>989</v>
      </c>
      <c r="G211" s="342" t="s">
        <v>805</v>
      </c>
      <c r="H211" s="342" t="s">
        <v>883</v>
      </c>
    </row>
    <row r="212" spans="1:8" x14ac:dyDescent="0.25">
      <c r="A212" s="343">
        <v>768</v>
      </c>
      <c r="B212" s="343">
        <v>64746</v>
      </c>
      <c r="C212" s="342" t="s">
        <v>832</v>
      </c>
      <c r="D212" s="342" t="s">
        <v>909</v>
      </c>
      <c r="E212" s="342" t="s">
        <v>622</v>
      </c>
      <c r="F212" s="342" t="s">
        <v>990</v>
      </c>
      <c r="G212" s="342" t="s">
        <v>805</v>
      </c>
      <c r="H212" s="342" t="s">
        <v>883</v>
      </c>
    </row>
    <row r="213" spans="1:8" x14ac:dyDescent="0.25">
      <c r="A213" s="343">
        <v>783</v>
      </c>
      <c r="B213" s="343">
        <v>63911</v>
      </c>
      <c r="C213" s="342" t="s">
        <v>767</v>
      </c>
      <c r="D213" s="342" t="s">
        <v>953</v>
      </c>
      <c r="E213" s="342" t="s">
        <v>647</v>
      </c>
      <c r="F213" s="342" t="s">
        <v>991</v>
      </c>
      <c r="G213" s="342" t="s">
        <v>737</v>
      </c>
      <c r="H213" s="342" t="s">
        <v>738</v>
      </c>
    </row>
    <row r="214" spans="1:8" x14ac:dyDescent="0.25">
      <c r="A214" s="343">
        <v>795</v>
      </c>
      <c r="B214" s="343">
        <v>64249</v>
      </c>
      <c r="C214" s="342" t="s">
        <v>701</v>
      </c>
      <c r="D214" s="342" t="s">
        <v>777</v>
      </c>
      <c r="E214" s="342" t="s">
        <v>610</v>
      </c>
      <c r="F214" s="342" t="s">
        <v>992</v>
      </c>
      <c r="G214" s="342" t="s">
        <v>695</v>
      </c>
      <c r="H214" s="342" t="s">
        <v>800</v>
      </c>
    </row>
    <row r="215" spans="1:8" x14ac:dyDescent="0.25">
      <c r="A215" s="343">
        <v>800</v>
      </c>
      <c r="B215" s="343">
        <v>64060</v>
      </c>
      <c r="C215" s="342" t="s">
        <v>697</v>
      </c>
      <c r="D215" s="342" t="s">
        <v>714</v>
      </c>
      <c r="E215" s="342" t="s">
        <v>522</v>
      </c>
      <c r="F215" s="342" t="s">
        <v>993</v>
      </c>
      <c r="G215" s="342" t="s">
        <v>695</v>
      </c>
      <c r="H215" s="342" t="s">
        <v>994</v>
      </c>
    </row>
    <row r="216" spans="1:8" x14ac:dyDescent="0.25">
      <c r="A216" s="343">
        <v>803</v>
      </c>
      <c r="B216" s="343">
        <v>45491</v>
      </c>
      <c r="C216" s="342" t="s">
        <v>779</v>
      </c>
      <c r="D216" s="342" t="s">
        <v>780</v>
      </c>
      <c r="E216" s="342" t="s">
        <v>390</v>
      </c>
      <c r="F216" s="342" t="s">
        <v>995</v>
      </c>
      <c r="G216" s="342" t="s">
        <v>695</v>
      </c>
      <c r="H216" s="342" t="s">
        <v>856</v>
      </c>
    </row>
    <row r="217" spans="1:8" x14ac:dyDescent="0.25">
      <c r="A217" s="343">
        <v>815</v>
      </c>
      <c r="B217" s="343">
        <v>218</v>
      </c>
      <c r="C217" s="342" t="s">
        <v>692</v>
      </c>
      <c r="D217" s="342" t="s">
        <v>803</v>
      </c>
      <c r="E217" s="342" t="s">
        <v>588</v>
      </c>
      <c r="F217" s="342" t="s">
        <v>996</v>
      </c>
      <c r="G217" s="342" t="s">
        <v>997</v>
      </c>
      <c r="H217" s="342" t="s">
        <v>997</v>
      </c>
    </row>
    <row r="218" spans="1:8" x14ac:dyDescent="0.25">
      <c r="A218" s="343">
        <v>826</v>
      </c>
      <c r="B218" s="343">
        <v>10</v>
      </c>
      <c r="C218" s="342" t="s">
        <v>832</v>
      </c>
      <c r="D218" s="342" t="s">
        <v>833</v>
      </c>
      <c r="E218" s="342" t="s">
        <v>662</v>
      </c>
      <c r="F218" s="342" t="s">
        <v>998</v>
      </c>
      <c r="G218" s="342" t="s">
        <v>695</v>
      </c>
      <c r="H218" s="342" t="s">
        <v>726</v>
      </c>
    </row>
    <row r="219" spans="1:8" x14ac:dyDescent="0.25">
      <c r="A219" s="343">
        <v>856</v>
      </c>
      <c r="B219" s="343">
        <v>66187</v>
      </c>
      <c r="C219" s="342" t="s">
        <v>697</v>
      </c>
      <c r="D219" s="342" t="s">
        <v>874</v>
      </c>
      <c r="E219" s="342" t="s">
        <v>350</v>
      </c>
      <c r="F219" s="342" t="s">
        <v>999</v>
      </c>
      <c r="G219" s="342" t="s">
        <v>805</v>
      </c>
      <c r="H219" s="342" t="s">
        <v>806</v>
      </c>
    </row>
    <row r="220" spans="1:8" x14ac:dyDescent="0.25">
      <c r="A220" s="343">
        <v>866</v>
      </c>
      <c r="B220" s="343">
        <v>55542</v>
      </c>
      <c r="C220" s="342" t="s">
        <v>706</v>
      </c>
      <c r="D220" s="342" t="s">
        <v>720</v>
      </c>
      <c r="E220" s="342" t="s">
        <v>566</v>
      </c>
      <c r="F220" s="342" t="s">
        <v>1000</v>
      </c>
      <c r="G220" s="342" t="s">
        <v>695</v>
      </c>
      <c r="H220" s="342" t="s">
        <v>726</v>
      </c>
    </row>
    <row r="221" spans="1:8" x14ac:dyDescent="0.25">
      <c r="A221" s="343">
        <v>891</v>
      </c>
      <c r="B221" s="343">
        <v>2672</v>
      </c>
      <c r="C221" s="342" t="s">
        <v>767</v>
      </c>
      <c r="D221" s="342" t="s">
        <v>860</v>
      </c>
      <c r="E221" s="342" t="s">
        <v>449</v>
      </c>
      <c r="F221" s="342" t="s">
        <v>1001</v>
      </c>
      <c r="G221" s="342" t="s">
        <v>805</v>
      </c>
      <c r="H221" s="342" t="s">
        <v>806</v>
      </c>
    </row>
    <row r="222" spans="1:8" x14ac:dyDescent="0.25">
      <c r="A222" s="343">
        <v>916</v>
      </c>
      <c r="B222" s="343">
        <v>46609</v>
      </c>
      <c r="C222" s="342" t="s">
        <v>767</v>
      </c>
      <c r="D222" s="342" t="s">
        <v>860</v>
      </c>
      <c r="E222" s="342" t="s">
        <v>449</v>
      </c>
      <c r="F222" s="342" t="s">
        <v>1002</v>
      </c>
      <c r="G222" s="342" t="s">
        <v>805</v>
      </c>
      <c r="H222" s="342" t="s">
        <v>813</v>
      </c>
    </row>
    <row r="223" spans="1:8" x14ac:dyDescent="0.25">
      <c r="A223" s="343">
        <v>934</v>
      </c>
      <c r="B223" s="343">
        <v>67644</v>
      </c>
      <c r="C223" s="342" t="s">
        <v>822</v>
      </c>
      <c r="D223" s="342" t="s">
        <v>1003</v>
      </c>
      <c r="E223" s="342" t="s">
        <v>573</v>
      </c>
      <c r="F223" s="342" t="s">
        <v>1004</v>
      </c>
      <c r="G223" s="342" t="s">
        <v>695</v>
      </c>
      <c r="H223" s="342" t="s">
        <v>1005</v>
      </c>
    </row>
    <row r="224" spans="1:8" x14ac:dyDescent="0.25">
      <c r="A224" s="343">
        <v>937</v>
      </c>
      <c r="B224" s="343">
        <v>43738</v>
      </c>
      <c r="C224" s="342" t="s">
        <v>697</v>
      </c>
      <c r="D224" s="342" t="s">
        <v>874</v>
      </c>
      <c r="E224" s="342" t="s">
        <v>350</v>
      </c>
      <c r="F224" s="342" t="s">
        <v>1006</v>
      </c>
      <c r="G224" s="342" t="s">
        <v>805</v>
      </c>
      <c r="H224" s="342" t="s">
        <v>813</v>
      </c>
    </row>
    <row r="225" spans="1:8" x14ac:dyDescent="0.25">
      <c r="A225" s="343">
        <v>953</v>
      </c>
      <c r="B225" s="343">
        <v>67650</v>
      </c>
      <c r="C225" s="342" t="s">
        <v>706</v>
      </c>
      <c r="D225" s="342" t="s">
        <v>907</v>
      </c>
      <c r="E225" s="342" t="s">
        <v>419</v>
      </c>
      <c r="F225" s="342" t="s">
        <v>1007</v>
      </c>
      <c r="G225" s="342" t="s">
        <v>805</v>
      </c>
      <c r="H225" s="342" t="s">
        <v>806</v>
      </c>
    </row>
    <row r="226" spans="1:8" x14ac:dyDescent="0.25">
      <c r="A226" s="343">
        <v>954</v>
      </c>
      <c r="B226" s="343">
        <v>43723</v>
      </c>
      <c r="C226" s="342" t="s">
        <v>706</v>
      </c>
      <c r="D226" s="342" t="s">
        <v>907</v>
      </c>
      <c r="E226" s="342" t="s">
        <v>419</v>
      </c>
      <c r="F226" s="342" t="s">
        <v>1008</v>
      </c>
      <c r="G226" s="342" t="s">
        <v>805</v>
      </c>
      <c r="H226" s="342" t="s">
        <v>813</v>
      </c>
    </row>
    <row r="227" spans="1:8" x14ac:dyDescent="0.25">
      <c r="A227" s="343">
        <v>997</v>
      </c>
      <c r="B227" s="343">
        <v>48171</v>
      </c>
      <c r="C227" s="342" t="s">
        <v>822</v>
      </c>
      <c r="D227" s="342" t="s">
        <v>823</v>
      </c>
      <c r="E227" s="342" t="s">
        <v>649</v>
      </c>
      <c r="F227" s="342" t="s">
        <v>1009</v>
      </c>
      <c r="G227" s="342" t="s">
        <v>805</v>
      </c>
      <c r="H227" s="342" t="s">
        <v>1010</v>
      </c>
    </row>
    <row r="228" spans="1:8" x14ac:dyDescent="0.25">
      <c r="A228" s="343">
        <v>1020</v>
      </c>
      <c r="B228" s="343">
        <v>67866</v>
      </c>
      <c r="C228" s="342" t="s">
        <v>692</v>
      </c>
      <c r="D228" s="342" t="s">
        <v>693</v>
      </c>
      <c r="E228" s="342" t="s">
        <v>629</v>
      </c>
      <c r="F228" s="342" t="s">
        <v>1011</v>
      </c>
      <c r="G228" s="342" t="s">
        <v>737</v>
      </c>
      <c r="H228" s="342" t="s">
        <v>738</v>
      </c>
    </row>
    <row r="229" spans="1:8" x14ac:dyDescent="0.25">
      <c r="A229" s="343">
        <v>1024</v>
      </c>
      <c r="B229" s="343">
        <v>67872</v>
      </c>
      <c r="C229" s="342" t="s">
        <v>832</v>
      </c>
      <c r="D229" s="342" t="s">
        <v>909</v>
      </c>
      <c r="E229" s="342" t="s">
        <v>553</v>
      </c>
      <c r="F229" s="342" t="s">
        <v>1012</v>
      </c>
      <c r="G229" s="342" t="s">
        <v>695</v>
      </c>
      <c r="H229" s="342" t="s">
        <v>726</v>
      </c>
    </row>
    <row r="230" spans="1:8" x14ac:dyDescent="0.25">
      <c r="A230" s="343">
        <v>1042</v>
      </c>
      <c r="B230" s="343">
        <v>53661</v>
      </c>
      <c r="C230" s="342" t="s">
        <v>706</v>
      </c>
      <c r="D230" s="342" t="s">
        <v>907</v>
      </c>
      <c r="E230" s="342" t="s">
        <v>672</v>
      </c>
      <c r="F230" s="342" t="s">
        <v>1013</v>
      </c>
      <c r="G230" s="342" t="s">
        <v>695</v>
      </c>
      <c r="H230" s="342" t="s">
        <v>272</v>
      </c>
    </row>
    <row r="231" spans="1:8" x14ac:dyDescent="0.25">
      <c r="A231" s="343">
        <v>1051</v>
      </c>
      <c r="B231" s="343">
        <v>55859</v>
      </c>
      <c r="C231" s="342" t="s">
        <v>779</v>
      </c>
      <c r="D231" s="342" t="s">
        <v>956</v>
      </c>
      <c r="E231" s="342" t="s">
        <v>671</v>
      </c>
      <c r="F231" s="342" t="s">
        <v>1014</v>
      </c>
      <c r="G231" s="342" t="s">
        <v>997</v>
      </c>
      <c r="H231" s="342" t="s">
        <v>997</v>
      </c>
    </row>
    <row r="232" spans="1:8" x14ac:dyDescent="0.25">
      <c r="A232" s="343">
        <v>1052</v>
      </c>
      <c r="B232" s="343">
        <v>63764</v>
      </c>
      <c r="C232" s="342" t="s">
        <v>706</v>
      </c>
      <c r="D232" s="342" t="s">
        <v>907</v>
      </c>
      <c r="E232" s="342" t="s">
        <v>419</v>
      </c>
      <c r="F232" s="342" t="s">
        <v>1015</v>
      </c>
      <c r="G232" s="342" t="s">
        <v>997</v>
      </c>
      <c r="H232" s="342" t="s">
        <v>997</v>
      </c>
    </row>
    <row r="233" spans="1:8" x14ac:dyDescent="0.25">
      <c r="A233" s="343">
        <v>1056</v>
      </c>
      <c r="B233" s="343">
        <v>68167</v>
      </c>
      <c r="C233" s="342" t="s">
        <v>779</v>
      </c>
      <c r="D233" s="342" t="s">
        <v>956</v>
      </c>
      <c r="E233" s="342" t="s">
        <v>623</v>
      </c>
      <c r="F233" s="342" t="s">
        <v>1016</v>
      </c>
      <c r="G233" s="342" t="s">
        <v>695</v>
      </c>
      <c r="H233" s="342" t="s">
        <v>1017</v>
      </c>
    </row>
    <row r="234" spans="1:8" x14ac:dyDescent="0.25">
      <c r="A234" s="343">
        <v>169</v>
      </c>
      <c r="B234" s="343">
        <v>249</v>
      </c>
      <c r="C234" s="342" t="s">
        <v>692</v>
      </c>
      <c r="D234" s="342" t="s">
        <v>803</v>
      </c>
      <c r="E234" s="342" t="s">
        <v>533</v>
      </c>
      <c r="F234" s="342" t="s">
        <v>1018</v>
      </c>
      <c r="G234" s="342" t="s">
        <v>695</v>
      </c>
      <c r="H234" s="342" t="s">
        <v>696</v>
      </c>
    </row>
    <row r="235" spans="1:8" x14ac:dyDescent="0.25">
      <c r="A235" s="343">
        <v>214</v>
      </c>
      <c r="B235" s="343">
        <v>271</v>
      </c>
      <c r="C235" s="342" t="s">
        <v>832</v>
      </c>
      <c r="D235" s="342" t="s">
        <v>909</v>
      </c>
      <c r="E235" s="342" t="s">
        <v>581</v>
      </c>
      <c r="F235" s="342" t="s">
        <v>1019</v>
      </c>
      <c r="G235" s="342" t="s">
        <v>695</v>
      </c>
      <c r="H235" s="342" t="s">
        <v>696</v>
      </c>
    </row>
    <row r="236" spans="1:8" x14ac:dyDescent="0.25">
      <c r="A236" s="343">
        <v>230</v>
      </c>
      <c r="B236" s="343">
        <v>45183</v>
      </c>
      <c r="C236" s="342" t="s">
        <v>697</v>
      </c>
      <c r="D236" s="342" t="s">
        <v>698</v>
      </c>
      <c r="E236" s="342" t="s">
        <v>599</v>
      </c>
      <c r="F236" s="342" t="s">
        <v>1020</v>
      </c>
      <c r="G236" s="342" t="s">
        <v>695</v>
      </c>
      <c r="H236" s="342" t="s">
        <v>696</v>
      </c>
    </row>
    <row r="237" spans="1:8" x14ac:dyDescent="0.25">
      <c r="A237" s="343">
        <v>291</v>
      </c>
      <c r="B237" s="343">
        <v>48918</v>
      </c>
      <c r="C237" s="342" t="s">
        <v>767</v>
      </c>
      <c r="D237" s="342" t="s">
        <v>939</v>
      </c>
      <c r="E237" s="342" t="s">
        <v>661</v>
      </c>
      <c r="F237" s="342" t="s">
        <v>1021</v>
      </c>
      <c r="G237" s="342" t="s">
        <v>695</v>
      </c>
      <c r="H237" s="342" t="s">
        <v>696</v>
      </c>
    </row>
    <row r="238" spans="1:8" x14ac:dyDescent="0.25">
      <c r="A238" s="343">
        <v>713</v>
      </c>
      <c r="B238" s="343">
        <v>64185</v>
      </c>
      <c r="C238" s="342" t="s">
        <v>706</v>
      </c>
      <c r="D238" s="342" t="s">
        <v>847</v>
      </c>
      <c r="E238" s="342" t="s">
        <v>549</v>
      </c>
      <c r="F238" s="342" t="s">
        <v>1022</v>
      </c>
      <c r="G238" s="342" t="s">
        <v>695</v>
      </c>
      <c r="H238" s="342" t="s">
        <v>726</v>
      </c>
    </row>
    <row r="239" spans="1:8" x14ac:dyDescent="0.25">
      <c r="A239" s="343">
        <v>41</v>
      </c>
      <c r="B239" s="343">
        <v>48893</v>
      </c>
      <c r="C239" s="342" t="s">
        <v>789</v>
      </c>
      <c r="D239" s="342" t="s">
        <v>790</v>
      </c>
      <c r="E239" s="342" t="s">
        <v>402</v>
      </c>
      <c r="F239" s="342" t="s">
        <v>1023</v>
      </c>
      <c r="G239" s="342" t="s">
        <v>695</v>
      </c>
      <c r="H239" s="342" t="s">
        <v>696</v>
      </c>
    </row>
    <row r="240" spans="1:8" x14ac:dyDescent="0.25">
      <c r="A240" s="343">
        <v>43</v>
      </c>
      <c r="B240" s="343">
        <v>63861</v>
      </c>
      <c r="C240" s="342" t="s">
        <v>779</v>
      </c>
      <c r="D240" s="342" t="s">
        <v>1024</v>
      </c>
      <c r="E240" s="342" t="s">
        <v>404</v>
      </c>
      <c r="F240" s="342" t="s">
        <v>1025</v>
      </c>
      <c r="G240" s="342" t="s">
        <v>695</v>
      </c>
      <c r="H240" s="342" t="s">
        <v>696</v>
      </c>
    </row>
    <row r="241" spans="1:8" x14ac:dyDescent="0.25">
      <c r="A241" s="343">
        <v>55</v>
      </c>
      <c r="B241" s="343">
        <v>48545</v>
      </c>
      <c r="C241" s="342" t="s">
        <v>692</v>
      </c>
      <c r="D241" s="342" t="s">
        <v>722</v>
      </c>
      <c r="E241" s="342" t="s">
        <v>416</v>
      </c>
      <c r="F241" s="342" t="s">
        <v>1026</v>
      </c>
      <c r="G241" s="342" t="s">
        <v>695</v>
      </c>
      <c r="H241" s="342" t="s">
        <v>696</v>
      </c>
    </row>
    <row r="242" spans="1:8" x14ac:dyDescent="0.25">
      <c r="A242" s="343">
        <v>63</v>
      </c>
      <c r="B242" s="343">
        <v>48934</v>
      </c>
      <c r="C242" s="342" t="s">
        <v>701</v>
      </c>
      <c r="D242" s="342" t="s">
        <v>744</v>
      </c>
      <c r="E242" s="342" t="s">
        <v>426</v>
      </c>
      <c r="F242" s="342" t="s">
        <v>1027</v>
      </c>
      <c r="G242" s="342" t="s">
        <v>695</v>
      </c>
      <c r="H242" s="342" t="s">
        <v>696</v>
      </c>
    </row>
    <row r="243" spans="1:8" x14ac:dyDescent="0.25">
      <c r="A243" s="343">
        <v>66</v>
      </c>
      <c r="B243" s="343">
        <v>63870</v>
      </c>
      <c r="C243" s="342" t="s">
        <v>701</v>
      </c>
      <c r="D243" s="342" t="s">
        <v>749</v>
      </c>
      <c r="E243" s="342" t="s">
        <v>429</v>
      </c>
      <c r="F243" s="342" t="s">
        <v>1028</v>
      </c>
      <c r="G243" s="342" t="s">
        <v>695</v>
      </c>
      <c r="H243" s="342" t="s">
        <v>696</v>
      </c>
    </row>
    <row r="244" spans="1:8" x14ac:dyDescent="0.25">
      <c r="A244" s="343">
        <v>70</v>
      </c>
      <c r="B244" s="343">
        <v>37</v>
      </c>
      <c r="C244" s="342" t="s">
        <v>822</v>
      </c>
      <c r="D244" s="342" t="s">
        <v>823</v>
      </c>
      <c r="E244" s="342" t="s">
        <v>433</v>
      </c>
      <c r="F244" s="342" t="s">
        <v>1029</v>
      </c>
      <c r="G244" s="342" t="s">
        <v>695</v>
      </c>
      <c r="H244" s="342" t="s">
        <v>696</v>
      </c>
    </row>
    <row r="245" spans="1:8" x14ac:dyDescent="0.25">
      <c r="A245" s="343">
        <v>105</v>
      </c>
      <c r="B245" s="343">
        <v>48548</v>
      </c>
      <c r="C245" s="342" t="s">
        <v>740</v>
      </c>
      <c r="D245" s="342" t="s">
        <v>741</v>
      </c>
      <c r="E245" s="342" t="s">
        <v>468</v>
      </c>
      <c r="F245" s="342" t="s">
        <v>1030</v>
      </c>
      <c r="G245" s="342" t="s">
        <v>695</v>
      </c>
      <c r="H245" s="342" t="s">
        <v>696</v>
      </c>
    </row>
    <row r="246" spans="1:8" x14ac:dyDescent="0.25">
      <c r="A246" s="343">
        <v>106</v>
      </c>
      <c r="B246" s="343">
        <v>63925</v>
      </c>
      <c r="C246" s="342" t="s">
        <v>697</v>
      </c>
      <c r="D246" s="342" t="s">
        <v>698</v>
      </c>
      <c r="E246" s="342" t="s">
        <v>469</v>
      </c>
      <c r="F246" s="342" t="s">
        <v>1031</v>
      </c>
      <c r="G246" s="342" t="s">
        <v>695</v>
      </c>
      <c r="H246" s="342" t="s">
        <v>696</v>
      </c>
    </row>
    <row r="247" spans="1:8" x14ac:dyDescent="0.25">
      <c r="A247" s="343">
        <v>112</v>
      </c>
      <c r="B247" s="343">
        <v>48424</v>
      </c>
      <c r="C247" s="342" t="s">
        <v>740</v>
      </c>
      <c r="D247" s="342" t="s">
        <v>920</v>
      </c>
      <c r="E247" s="342" t="s">
        <v>474</v>
      </c>
      <c r="F247" s="342" t="s">
        <v>1032</v>
      </c>
      <c r="G247" s="342" t="s">
        <v>695</v>
      </c>
      <c r="H247" s="342" t="s">
        <v>696</v>
      </c>
    </row>
    <row r="248" spans="1:8" x14ac:dyDescent="0.25">
      <c r="A248" s="343">
        <v>123</v>
      </c>
      <c r="B248" s="343">
        <v>264</v>
      </c>
      <c r="C248" s="342" t="s">
        <v>701</v>
      </c>
      <c r="D248" s="342" t="s">
        <v>744</v>
      </c>
      <c r="E248" s="342" t="s">
        <v>485</v>
      </c>
      <c r="F248" s="342" t="s">
        <v>1033</v>
      </c>
      <c r="G248" s="342" t="s">
        <v>695</v>
      </c>
      <c r="H248" s="342" t="s">
        <v>696</v>
      </c>
    </row>
    <row r="249" spans="1:8" x14ac:dyDescent="0.25">
      <c r="A249" s="343">
        <v>129</v>
      </c>
      <c r="B249" s="343">
        <v>63928</v>
      </c>
      <c r="C249" s="342" t="s">
        <v>832</v>
      </c>
      <c r="D249" s="342" t="s">
        <v>928</v>
      </c>
      <c r="E249" s="342" t="s">
        <v>492</v>
      </c>
      <c r="F249" s="342" t="s">
        <v>1034</v>
      </c>
      <c r="G249" s="342" t="s">
        <v>695</v>
      </c>
      <c r="H249" s="342" t="s">
        <v>696</v>
      </c>
    </row>
    <row r="250" spans="1:8" x14ac:dyDescent="0.25">
      <c r="A250" s="343">
        <v>151</v>
      </c>
      <c r="B250" s="343">
        <v>48657</v>
      </c>
      <c r="C250" s="342" t="s">
        <v>789</v>
      </c>
      <c r="D250" s="342" t="s">
        <v>790</v>
      </c>
      <c r="E250" s="342" t="s">
        <v>515</v>
      </c>
      <c r="F250" s="342" t="s">
        <v>1035</v>
      </c>
      <c r="G250" s="342" t="s">
        <v>695</v>
      </c>
      <c r="H250" s="342" t="s">
        <v>696</v>
      </c>
    </row>
    <row r="251" spans="1:8" x14ac:dyDescent="0.25">
      <c r="A251" s="343">
        <v>172</v>
      </c>
      <c r="B251" s="343">
        <v>64102</v>
      </c>
      <c r="C251" s="342" t="s">
        <v>822</v>
      </c>
      <c r="D251" s="342" t="s">
        <v>1003</v>
      </c>
      <c r="E251" s="342" t="s">
        <v>536</v>
      </c>
      <c r="F251" s="342" t="s">
        <v>1036</v>
      </c>
      <c r="G251" s="342" t="s">
        <v>695</v>
      </c>
      <c r="H251" s="342" t="s">
        <v>696</v>
      </c>
    </row>
    <row r="252" spans="1:8" x14ac:dyDescent="0.25">
      <c r="A252" s="343">
        <v>173</v>
      </c>
      <c r="B252" s="343">
        <v>48945</v>
      </c>
      <c r="C252" s="342" t="s">
        <v>767</v>
      </c>
      <c r="D252" s="342" t="s">
        <v>939</v>
      </c>
      <c r="E252" s="342" t="s">
        <v>537</v>
      </c>
      <c r="F252" s="342" t="s">
        <v>1037</v>
      </c>
      <c r="G252" s="342" t="s">
        <v>695</v>
      </c>
      <c r="H252" s="342" t="s">
        <v>696</v>
      </c>
    </row>
    <row r="253" spans="1:8" x14ac:dyDescent="0.25">
      <c r="A253" s="343">
        <v>219</v>
      </c>
      <c r="B253" s="343">
        <v>54899</v>
      </c>
      <c r="C253" s="342" t="s">
        <v>767</v>
      </c>
      <c r="D253" s="342" t="s">
        <v>939</v>
      </c>
      <c r="E253" s="342" t="s">
        <v>587</v>
      </c>
      <c r="F253" s="342" t="s">
        <v>1038</v>
      </c>
      <c r="G253" s="342" t="s">
        <v>695</v>
      </c>
      <c r="H253" s="342" t="s">
        <v>696</v>
      </c>
    </row>
    <row r="254" spans="1:8" x14ac:dyDescent="0.25">
      <c r="A254" s="343">
        <v>237</v>
      </c>
      <c r="B254" s="343">
        <v>64238</v>
      </c>
      <c r="C254" s="342" t="s">
        <v>822</v>
      </c>
      <c r="D254" s="342" t="s">
        <v>889</v>
      </c>
      <c r="E254" s="342" t="s">
        <v>606</v>
      </c>
      <c r="F254" s="342" t="s">
        <v>1039</v>
      </c>
      <c r="G254" s="342" t="s">
        <v>695</v>
      </c>
      <c r="H254" s="342" t="s">
        <v>696</v>
      </c>
    </row>
    <row r="255" spans="1:8" x14ac:dyDescent="0.25">
      <c r="A255" s="343">
        <v>245</v>
      </c>
      <c r="B255" s="343">
        <v>64331</v>
      </c>
      <c r="C255" s="342" t="s">
        <v>789</v>
      </c>
      <c r="D255" s="342" t="s">
        <v>947</v>
      </c>
      <c r="E255" s="342" t="s">
        <v>615</v>
      </c>
      <c r="F255" s="342" t="s">
        <v>1040</v>
      </c>
      <c r="G255" s="342" t="s">
        <v>695</v>
      </c>
      <c r="H255" s="342" t="s">
        <v>696</v>
      </c>
    </row>
    <row r="256" spans="1:8" x14ac:dyDescent="0.25">
      <c r="A256" s="343">
        <v>264</v>
      </c>
      <c r="B256" s="343">
        <v>43969</v>
      </c>
      <c r="C256" s="342" t="s">
        <v>767</v>
      </c>
      <c r="D256" s="342" t="s">
        <v>770</v>
      </c>
      <c r="E256" s="342" t="s">
        <v>634</v>
      </c>
      <c r="F256" s="342" t="s">
        <v>1041</v>
      </c>
      <c r="G256" s="342" t="s">
        <v>695</v>
      </c>
      <c r="H256" s="342" t="s">
        <v>696</v>
      </c>
    </row>
    <row r="257" spans="1:8" x14ac:dyDescent="0.25">
      <c r="A257" s="343">
        <v>292</v>
      </c>
      <c r="B257" s="343">
        <v>220</v>
      </c>
      <c r="C257" s="342" t="s">
        <v>832</v>
      </c>
      <c r="D257" s="342" t="s">
        <v>833</v>
      </c>
      <c r="E257" s="342" t="s">
        <v>662</v>
      </c>
      <c r="F257" s="342" t="s">
        <v>1042</v>
      </c>
      <c r="G257" s="342" t="s">
        <v>695</v>
      </c>
      <c r="H257" s="342" t="s">
        <v>696</v>
      </c>
    </row>
    <row r="258" spans="1:8" x14ac:dyDescent="0.25">
      <c r="A258" s="343">
        <v>371</v>
      </c>
      <c r="B258" s="343">
        <v>63776</v>
      </c>
      <c r="C258" s="342" t="s">
        <v>701</v>
      </c>
      <c r="D258" s="342" t="s">
        <v>718</v>
      </c>
      <c r="E258" s="342" t="s">
        <v>360</v>
      </c>
      <c r="F258" s="342" t="s">
        <v>1043</v>
      </c>
      <c r="G258" s="342" t="s">
        <v>695</v>
      </c>
      <c r="H258" s="342" t="s">
        <v>726</v>
      </c>
    </row>
    <row r="259" spans="1:8" x14ac:dyDescent="0.25">
      <c r="A259" s="343">
        <v>375</v>
      </c>
      <c r="B259" s="343">
        <v>64751</v>
      </c>
      <c r="C259" s="342" t="s">
        <v>692</v>
      </c>
      <c r="D259" s="342" t="s">
        <v>693</v>
      </c>
      <c r="E259" s="342" t="s">
        <v>643</v>
      </c>
      <c r="F259" s="342" t="s">
        <v>1044</v>
      </c>
      <c r="G259" s="342" t="s">
        <v>695</v>
      </c>
      <c r="H259" s="342" t="s">
        <v>1045</v>
      </c>
    </row>
    <row r="260" spans="1:8" x14ac:dyDescent="0.25">
      <c r="A260" s="343">
        <v>395</v>
      </c>
      <c r="B260" s="343">
        <v>64147</v>
      </c>
      <c r="C260" s="342" t="s">
        <v>740</v>
      </c>
      <c r="D260" s="342" t="s">
        <v>741</v>
      </c>
      <c r="E260" s="342" t="s">
        <v>468</v>
      </c>
      <c r="F260" s="342" t="s">
        <v>1046</v>
      </c>
      <c r="G260" s="342" t="s">
        <v>737</v>
      </c>
      <c r="H260" s="342" t="s">
        <v>738</v>
      </c>
    </row>
    <row r="261" spans="1:8" x14ac:dyDescent="0.25">
      <c r="A261" s="343">
        <v>401</v>
      </c>
      <c r="B261" s="343">
        <v>64143</v>
      </c>
      <c r="C261" s="342" t="s">
        <v>822</v>
      </c>
      <c r="D261" s="342" t="s">
        <v>823</v>
      </c>
      <c r="E261" s="342" t="s">
        <v>433</v>
      </c>
      <c r="F261" s="342" t="s">
        <v>1047</v>
      </c>
      <c r="G261" s="342" t="s">
        <v>695</v>
      </c>
      <c r="H261" s="342" t="s">
        <v>734</v>
      </c>
    </row>
    <row r="262" spans="1:8" x14ac:dyDescent="0.25">
      <c r="A262" s="343">
        <v>438</v>
      </c>
      <c r="B262" s="343">
        <v>63929</v>
      </c>
      <c r="C262" s="342" t="s">
        <v>832</v>
      </c>
      <c r="D262" s="342" t="s">
        <v>928</v>
      </c>
      <c r="E262" s="342" t="s">
        <v>492</v>
      </c>
      <c r="F262" s="342" t="s">
        <v>1048</v>
      </c>
      <c r="G262" s="342" t="s">
        <v>695</v>
      </c>
      <c r="H262" s="342" t="s">
        <v>705</v>
      </c>
    </row>
    <row r="263" spans="1:8" x14ac:dyDescent="0.25">
      <c r="A263" s="343">
        <v>517</v>
      </c>
      <c r="B263" s="343">
        <v>63881</v>
      </c>
      <c r="C263" s="342" t="s">
        <v>692</v>
      </c>
      <c r="D263" s="342" t="s">
        <v>1049</v>
      </c>
      <c r="E263" s="342" t="s">
        <v>436</v>
      </c>
      <c r="F263" s="342" t="s">
        <v>1050</v>
      </c>
      <c r="G263" s="342" t="s">
        <v>695</v>
      </c>
      <c r="H263" s="342" t="s">
        <v>1051</v>
      </c>
    </row>
    <row r="264" spans="1:8" x14ac:dyDescent="0.25">
      <c r="A264" s="343">
        <v>540</v>
      </c>
      <c r="B264" s="343">
        <v>63827</v>
      </c>
      <c r="C264" s="342" t="s">
        <v>767</v>
      </c>
      <c r="D264" s="342" t="s">
        <v>939</v>
      </c>
      <c r="E264" s="342" t="s">
        <v>537</v>
      </c>
      <c r="F264" s="342" t="s">
        <v>1052</v>
      </c>
      <c r="G264" s="342" t="s">
        <v>695</v>
      </c>
      <c r="H264" s="342" t="s">
        <v>1053</v>
      </c>
    </row>
    <row r="265" spans="1:8" x14ac:dyDescent="0.25">
      <c r="A265" s="343">
        <v>635</v>
      </c>
      <c r="B265" s="343">
        <v>64250</v>
      </c>
      <c r="C265" s="342" t="s">
        <v>779</v>
      </c>
      <c r="D265" s="342" t="s">
        <v>956</v>
      </c>
      <c r="E265" s="342" t="s">
        <v>623</v>
      </c>
      <c r="F265" s="342" t="s">
        <v>1054</v>
      </c>
      <c r="G265" s="342" t="s">
        <v>805</v>
      </c>
      <c r="H265" s="342" t="s">
        <v>806</v>
      </c>
    </row>
    <row r="266" spans="1:8" x14ac:dyDescent="0.25">
      <c r="A266" s="343">
        <v>677</v>
      </c>
      <c r="B266" s="343">
        <v>63808</v>
      </c>
      <c r="C266" s="342" t="s">
        <v>832</v>
      </c>
      <c r="D266" s="342" t="s">
        <v>897</v>
      </c>
      <c r="E266" s="342" t="s">
        <v>380</v>
      </c>
      <c r="F266" s="342" t="s">
        <v>1055</v>
      </c>
      <c r="G266" s="342" t="s">
        <v>695</v>
      </c>
      <c r="H266" s="342" t="s">
        <v>726</v>
      </c>
    </row>
    <row r="267" spans="1:8" x14ac:dyDescent="0.25">
      <c r="A267" s="343">
        <v>885</v>
      </c>
      <c r="B267" s="343">
        <v>66201</v>
      </c>
      <c r="C267" s="342" t="s">
        <v>706</v>
      </c>
      <c r="D267" s="342" t="s">
        <v>847</v>
      </c>
      <c r="E267" s="342" t="s">
        <v>549</v>
      </c>
      <c r="F267" s="342" t="s">
        <v>1056</v>
      </c>
      <c r="G267" s="342" t="s">
        <v>695</v>
      </c>
      <c r="H267" s="342" t="s">
        <v>1057</v>
      </c>
    </row>
    <row r="268" spans="1:8" x14ac:dyDescent="0.25">
      <c r="A268" s="343">
        <v>929</v>
      </c>
      <c r="B268" s="343">
        <v>67231</v>
      </c>
      <c r="C268" s="342" t="s">
        <v>692</v>
      </c>
      <c r="D268" s="342" t="s">
        <v>722</v>
      </c>
      <c r="E268" s="342" t="s">
        <v>416</v>
      </c>
      <c r="F268" s="342" t="s">
        <v>1058</v>
      </c>
      <c r="G268" s="342" t="s">
        <v>737</v>
      </c>
      <c r="H268" s="342" t="s">
        <v>738</v>
      </c>
    </row>
    <row r="269" spans="1:8" x14ac:dyDescent="0.25">
      <c r="A269" s="343">
        <v>945</v>
      </c>
      <c r="B269" s="343">
        <v>45931</v>
      </c>
      <c r="C269" s="342" t="s">
        <v>779</v>
      </c>
      <c r="D269" s="342" t="s">
        <v>780</v>
      </c>
      <c r="E269" s="342" t="s">
        <v>391</v>
      </c>
      <c r="F269" s="342" t="s">
        <v>1059</v>
      </c>
      <c r="G269" s="342" t="s">
        <v>805</v>
      </c>
      <c r="H269" s="342" t="s">
        <v>813</v>
      </c>
    </row>
    <row r="270" spans="1:8" x14ac:dyDescent="0.25">
      <c r="A270" s="343">
        <v>1011</v>
      </c>
      <c r="B270" s="343">
        <v>67729</v>
      </c>
      <c r="C270" s="342" t="s">
        <v>697</v>
      </c>
      <c r="D270" s="342" t="s">
        <v>698</v>
      </c>
      <c r="E270" s="342" t="s">
        <v>599</v>
      </c>
      <c r="F270" s="342" t="s">
        <v>1060</v>
      </c>
      <c r="G270" s="342" t="s">
        <v>805</v>
      </c>
      <c r="H270" s="342" t="s">
        <v>883</v>
      </c>
    </row>
    <row r="271" spans="1:8" x14ac:dyDescent="0.25">
      <c r="A271" s="343">
        <v>134</v>
      </c>
      <c r="B271" s="343">
        <v>48553</v>
      </c>
      <c r="C271" s="342" t="s">
        <v>789</v>
      </c>
      <c r="D271" s="342" t="s">
        <v>947</v>
      </c>
      <c r="E271" s="342" t="s">
        <v>498</v>
      </c>
      <c r="F271" s="342" t="s">
        <v>1061</v>
      </c>
      <c r="G271" s="342" t="s">
        <v>695</v>
      </c>
      <c r="H271" s="342" t="s">
        <v>696</v>
      </c>
    </row>
    <row r="272" spans="1:8" x14ac:dyDescent="0.25">
      <c r="A272" s="343">
        <v>299</v>
      </c>
      <c r="B272" s="343">
        <v>48647</v>
      </c>
      <c r="C272" s="342" t="s">
        <v>697</v>
      </c>
      <c r="D272" s="342" t="s">
        <v>874</v>
      </c>
      <c r="E272" s="342" t="s">
        <v>668</v>
      </c>
      <c r="F272" s="342" t="s">
        <v>1062</v>
      </c>
      <c r="G272" s="342" t="s">
        <v>695</v>
      </c>
      <c r="H272" s="342" t="s">
        <v>696</v>
      </c>
    </row>
    <row r="273" spans="1:8" x14ac:dyDescent="0.25">
      <c r="A273" s="343">
        <v>336</v>
      </c>
      <c r="B273" s="343">
        <v>64181</v>
      </c>
      <c r="C273" s="342" t="s">
        <v>706</v>
      </c>
      <c r="D273" s="342" t="s">
        <v>847</v>
      </c>
      <c r="E273" s="342" t="s">
        <v>549</v>
      </c>
      <c r="F273" s="342" t="s">
        <v>1063</v>
      </c>
      <c r="G273" s="342" t="s">
        <v>695</v>
      </c>
      <c r="H273" s="342" t="s">
        <v>1064</v>
      </c>
    </row>
    <row r="274" spans="1:8" x14ac:dyDescent="0.25">
      <c r="A274" s="343">
        <v>355</v>
      </c>
      <c r="B274" s="343">
        <v>64224</v>
      </c>
      <c r="C274" s="342" t="s">
        <v>692</v>
      </c>
      <c r="D274" s="342" t="s">
        <v>693</v>
      </c>
      <c r="E274" s="342" t="s">
        <v>643</v>
      </c>
      <c r="F274" s="342" t="s">
        <v>1065</v>
      </c>
      <c r="G274" s="342" t="s">
        <v>695</v>
      </c>
      <c r="H274" s="342" t="s">
        <v>696</v>
      </c>
    </row>
    <row r="275" spans="1:8" x14ac:dyDescent="0.25">
      <c r="A275" s="343">
        <v>424</v>
      </c>
      <c r="B275" s="343">
        <v>64182</v>
      </c>
      <c r="C275" s="342" t="s">
        <v>706</v>
      </c>
      <c r="D275" s="342" t="s">
        <v>847</v>
      </c>
      <c r="E275" s="342" t="s">
        <v>549</v>
      </c>
      <c r="F275" s="342" t="s">
        <v>1066</v>
      </c>
      <c r="G275" s="342" t="s">
        <v>695</v>
      </c>
      <c r="H275" s="342" t="s">
        <v>705</v>
      </c>
    </row>
    <row r="276" spans="1:8" x14ac:dyDescent="0.25">
      <c r="A276" s="343">
        <v>469</v>
      </c>
      <c r="B276" s="343">
        <v>63950</v>
      </c>
      <c r="C276" s="342" t="s">
        <v>789</v>
      </c>
      <c r="D276" s="342" t="s">
        <v>947</v>
      </c>
      <c r="E276" s="342" t="s">
        <v>498</v>
      </c>
      <c r="F276" s="342" t="s">
        <v>1067</v>
      </c>
      <c r="G276" s="342" t="s">
        <v>695</v>
      </c>
      <c r="H276" s="342" t="s">
        <v>705</v>
      </c>
    </row>
    <row r="277" spans="1:8" x14ac:dyDescent="0.25">
      <c r="A277" s="343">
        <v>470</v>
      </c>
      <c r="B277" s="343">
        <v>63951</v>
      </c>
      <c r="C277" s="342" t="s">
        <v>789</v>
      </c>
      <c r="D277" s="342" t="s">
        <v>947</v>
      </c>
      <c r="E277" s="342" t="s">
        <v>498</v>
      </c>
      <c r="F277" s="342" t="s">
        <v>1068</v>
      </c>
      <c r="G277" s="342" t="s">
        <v>695</v>
      </c>
      <c r="H277" s="342" t="s">
        <v>1051</v>
      </c>
    </row>
    <row r="278" spans="1:8" x14ac:dyDescent="0.25">
      <c r="A278" s="343">
        <v>479</v>
      </c>
      <c r="B278" s="343">
        <v>64223</v>
      </c>
      <c r="C278" s="342" t="s">
        <v>692</v>
      </c>
      <c r="D278" s="342" t="s">
        <v>693</v>
      </c>
      <c r="E278" s="342" t="s">
        <v>643</v>
      </c>
      <c r="F278" s="342" t="s">
        <v>1069</v>
      </c>
      <c r="G278" s="342" t="s">
        <v>695</v>
      </c>
      <c r="H278" s="342" t="s">
        <v>696</v>
      </c>
    </row>
    <row r="279" spans="1:8" x14ac:dyDescent="0.25">
      <c r="A279" s="343">
        <v>480</v>
      </c>
      <c r="B279" s="343">
        <v>64228</v>
      </c>
      <c r="C279" s="342" t="s">
        <v>740</v>
      </c>
      <c r="D279" s="342" t="s">
        <v>741</v>
      </c>
      <c r="E279" s="342" t="s">
        <v>574</v>
      </c>
      <c r="F279" s="342" t="s">
        <v>1070</v>
      </c>
      <c r="G279" s="342" t="s">
        <v>737</v>
      </c>
      <c r="H279" s="342" t="s">
        <v>738</v>
      </c>
    </row>
    <row r="280" spans="1:8" x14ac:dyDescent="0.25">
      <c r="A280" s="343">
        <v>516</v>
      </c>
      <c r="B280" s="343">
        <v>63879</v>
      </c>
      <c r="C280" s="342" t="s">
        <v>692</v>
      </c>
      <c r="D280" s="342" t="s">
        <v>1049</v>
      </c>
      <c r="E280" s="342" t="s">
        <v>436</v>
      </c>
      <c r="F280" s="342" t="s">
        <v>1071</v>
      </c>
      <c r="G280" s="342" t="s">
        <v>695</v>
      </c>
      <c r="H280" s="342" t="s">
        <v>696</v>
      </c>
    </row>
    <row r="281" spans="1:8" x14ac:dyDescent="0.25">
      <c r="A281" s="343">
        <v>518</v>
      </c>
      <c r="B281" s="343">
        <v>63880</v>
      </c>
      <c r="C281" s="342" t="s">
        <v>692</v>
      </c>
      <c r="D281" s="342" t="s">
        <v>1049</v>
      </c>
      <c r="E281" s="342" t="s">
        <v>436</v>
      </c>
      <c r="F281" s="342" t="s">
        <v>1072</v>
      </c>
      <c r="G281" s="342" t="s">
        <v>695</v>
      </c>
      <c r="H281" s="342" t="s">
        <v>705</v>
      </c>
    </row>
    <row r="282" spans="1:8" x14ac:dyDescent="0.25">
      <c r="A282" s="343">
        <v>547</v>
      </c>
      <c r="B282" s="343">
        <v>36196</v>
      </c>
      <c r="C282" s="342" t="s">
        <v>701</v>
      </c>
      <c r="D282" s="342" t="s">
        <v>727</v>
      </c>
      <c r="E282" s="342" t="s">
        <v>516</v>
      </c>
      <c r="F282" s="342" t="s">
        <v>1073</v>
      </c>
      <c r="G282" s="342" t="s">
        <v>695</v>
      </c>
      <c r="H282" s="342" t="s">
        <v>696</v>
      </c>
    </row>
    <row r="283" spans="1:8" x14ac:dyDescent="0.25">
      <c r="A283" s="343">
        <v>554</v>
      </c>
      <c r="B283" s="343">
        <v>50903</v>
      </c>
      <c r="C283" s="342" t="s">
        <v>832</v>
      </c>
      <c r="D283" s="342" t="s">
        <v>928</v>
      </c>
      <c r="E283" s="342" t="s">
        <v>394</v>
      </c>
      <c r="F283" s="342" t="s">
        <v>1074</v>
      </c>
      <c r="G283" s="342" t="s">
        <v>695</v>
      </c>
      <c r="H283" s="342" t="s">
        <v>696</v>
      </c>
    </row>
    <row r="284" spans="1:8" x14ac:dyDescent="0.25">
      <c r="A284" s="343">
        <v>727</v>
      </c>
      <c r="B284" s="343">
        <v>64193</v>
      </c>
      <c r="C284" s="342" t="s">
        <v>701</v>
      </c>
      <c r="D284" s="342" t="s">
        <v>763</v>
      </c>
      <c r="E284" s="342" t="s">
        <v>655</v>
      </c>
      <c r="F284" s="342" t="s">
        <v>1075</v>
      </c>
      <c r="G284" s="342" t="s">
        <v>695</v>
      </c>
      <c r="H284" s="342" t="s">
        <v>726</v>
      </c>
    </row>
    <row r="285" spans="1:8" x14ac:dyDescent="0.25">
      <c r="A285" s="343">
        <v>868</v>
      </c>
      <c r="B285" s="343">
        <v>66194</v>
      </c>
      <c r="C285" s="342" t="s">
        <v>706</v>
      </c>
      <c r="D285" s="342" t="s">
        <v>707</v>
      </c>
      <c r="E285" s="342" t="s">
        <v>446</v>
      </c>
      <c r="F285" s="342" t="s">
        <v>1076</v>
      </c>
      <c r="G285" s="342" t="s">
        <v>805</v>
      </c>
      <c r="H285" s="342" t="s">
        <v>806</v>
      </c>
    </row>
    <row r="286" spans="1:8" x14ac:dyDescent="0.25">
      <c r="A286" s="343">
        <v>884</v>
      </c>
      <c r="B286" s="343">
        <v>67162</v>
      </c>
      <c r="C286" s="342" t="s">
        <v>697</v>
      </c>
      <c r="D286" s="342" t="s">
        <v>698</v>
      </c>
      <c r="E286" s="342" t="s">
        <v>469</v>
      </c>
      <c r="F286" s="342" t="s">
        <v>1077</v>
      </c>
      <c r="G286" s="342" t="s">
        <v>805</v>
      </c>
      <c r="H286" s="342" t="s">
        <v>1078</v>
      </c>
    </row>
    <row r="287" spans="1:8" x14ac:dyDescent="0.25">
      <c r="A287" s="343">
        <v>914</v>
      </c>
      <c r="B287" s="343">
        <v>66274</v>
      </c>
      <c r="C287" s="342" t="s">
        <v>789</v>
      </c>
      <c r="D287" s="342" t="s">
        <v>790</v>
      </c>
      <c r="E287" s="342" t="s">
        <v>402</v>
      </c>
      <c r="F287" s="342" t="s">
        <v>1079</v>
      </c>
      <c r="G287" s="342" t="s">
        <v>695</v>
      </c>
      <c r="H287" s="342" t="s">
        <v>726</v>
      </c>
    </row>
    <row r="288" spans="1:8" x14ac:dyDescent="0.25">
      <c r="A288" s="343">
        <v>935</v>
      </c>
      <c r="B288" s="343">
        <v>67646</v>
      </c>
      <c r="C288" s="342" t="s">
        <v>706</v>
      </c>
      <c r="D288" s="342" t="s">
        <v>707</v>
      </c>
      <c r="E288" s="342" t="s">
        <v>446</v>
      </c>
      <c r="F288" s="342" t="s">
        <v>1080</v>
      </c>
      <c r="G288" s="342" t="s">
        <v>805</v>
      </c>
      <c r="H288" s="342" t="s">
        <v>806</v>
      </c>
    </row>
    <row r="289" spans="1:8" x14ac:dyDescent="0.25">
      <c r="A289" s="343">
        <v>11</v>
      </c>
      <c r="B289" s="343">
        <v>312</v>
      </c>
      <c r="C289" s="342" t="s">
        <v>789</v>
      </c>
      <c r="D289" s="342" t="s">
        <v>790</v>
      </c>
      <c r="E289" s="342" t="s">
        <v>366</v>
      </c>
      <c r="F289" s="342" t="s">
        <v>1081</v>
      </c>
      <c r="G289" s="342" t="s">
        <v>695</v>
      </c>
      <c r="H289" s="342" t="s">
        <v>696</v>
      </c>
    </row>
    <row r="290" spans="1:8" x14ac:dyDescent="0.25">
      <c r="A290" s="343">
        <v>71</v>
      </c>
      <c r="B290" s="343">
        <v>48895</v>
      </c>
      <c r="C290" s="342" t="s">
        <v>789</v>
      </c>
      <c r="D290" s="342" t="s">
        <v>790</v>
      </c>
      <c r="E290" s="342" t="s">
        <v>434</v>
      </c>
      <c r="F290" s="342" t="s">
        <v>1082</v>
      </c>
      <c r="G290" s="342" t="s">
        <v>695</v>
      </c>
      <c r="H290" s="342" t="s">
        <v>696</v>
      </c>
    </row>
    <row r="291" spans="1:8" x14ac:dyDescent="0.25">
      <c r="A291" s="343">
        <v>73</v>
      </c>
      <c r="B291" s="343">
        <v>251</v>
      </c>
      <c r="C291" s="342" t="s">
        <v>692</v>
      </c>
      <c r="D291" s="342" t="s">
        <v>1049</v>
      </c>
      <c r="E291" s="342" t="s">
        <v>436</v>
      </c>
      <c r="F291" s="342" t="s">
        <v>1083</v>
      </c>
      <c r="G291" s="342" t="s">
        <v>695</v>
      </c>
      <c r="H291" s="342" t="s">
        <v>696</v>
      </c>
    </row>
    <row r="292" spans="1:8" x14ac:dyDescent="0.25">
      <c r="A292" s="343">
        <v>171</v>
      </c>
      <c r="B292" s="343">
        <v>235</v>
      </c>
      <c r="C292" s="342" t="s">
        <v>701</v>
      </c>
      <c r="D292" s="342" t="s">
        <v>744</v>
      </c>
      <c r="E292" s="342" t="s">
        <v>535</v>
      </c>
      <c r="F292" s="342" t="s">
        <v>1084</v>
      </c>
      <c r="G292" s="342" t="s">
        <v>695</v>
      </c>
      <c r="H292" s="342" t="s">
        <v>696</v>
      </c>
    </row>
    <row r="293" spans="1:8" x14ac:dyDescent="0.25">
      <c r="A293" s="343">
        <v>181</v>
      </c>
      <c r="B293" s="343">
        <v>63813</v>
      </c>
      <c r="C293" s="342" t="s">
        <v>701</v>
      </c>
      <c r="D293" s="342" t="s">
        <v>763</v>
      </c>
      <c r="E293" s="342" t="s">
        <v>546</v>
      </c>
      <c r="F293" s="342" t="s">
        <v>1085</v>
      </c>
      <c r="G293" s="342" t="s">
        <v>695</v>
      </c>
      <c r="H293" s="342" t="s">
        <v>696</v>
      </c>
    </row>
    <row r="294" spans="1:8" x14ac:dyDescent="0.25">
      <c r="A294" s="343">
        <v>209</v>
      </c>
      <c r="B294" s="343">
        <v>281</v>
      </c>
      <c r="C294" s="342" t="s">
        <v>789</v>
      </c>
      <c r="D294" s="342" t="s">
        <v>818</v>
      </c>
      <c r="E294" s="342" t="s">
        <v>576</v>
      </c>
      <c r="F294" s="342" t="s">
        <v>1086</v>
      </c>
      <c r="G294" s="342" t="s">
        <v>695</v>
      </c>
      <c r="H294" s="342" t="s">
        <v>696</v>
      </c>
    </row>
    <row r="295" spans="1:8" x14ac:dyDescent="0.25">
      <c r="A295" s="343">
        <v>229</v>
      </c>
      <c r="B295" s="343">
        <v>125</v>
      </c>
      <c r="C295" s="342" t="s">
        <v>697</v>
      </c>
      <c r="D295" s="342" t="s">
        <v>698</v>
      </c>
      <c r="E295" s="342" t="s">
        <v>597</v>
      </c>
      <c r="F295" s="342" t="s">
        <v>1087</v>
      </c>
      <c r="G295" s="342" t="s">
        <v>695</v>
      </c>
      <c r="H295" s="342" t="s">
        <v>696</v>
      </c>
    </row>
    <row r="296" spans="1:8" x14ac:dyDescent="0.25">
      <c r="A296" s="343">
        <v>233</v>
      </c>
      <c r="B296" s="343">
        <v>48</v>
      </c>
      <c r="C296" s="342" t="s">
        <v>697</v>
      </c>
      <c r="D296" s="342" t="s">
        <v>714</v>
      </c>
      <c r="E296" s="342" t="s">
        <v>602</v>
      </c>
      <c r="F296" s="342" t="s">
        <v>1088</v>
      </c>
      <c r="G296" s="342" t="s">
        <v>695</v>
      </c>
      <c r="H296" s="342" t="s">
        <v>696</v>
      </c>
    </row>
    <row r="297" spans="1:8" x14ac:dyDescent="0.25">
      <c r="A297" s="343">
        <v>284</v>
      </c>
      <c r="B297" s="343">
        <v>41</v>
      </c>
      <c r="C297" s="342" t="s">
        <v>740</v>
      </c>
      <c r="D297" s="342" t="s">
        <v>741</v>
      </c>
      <c r="E297" s="342" t="s">
        <v>654</v>
      </c>
      <c r="F297" s="342" t="s">
        <v>1089</v>
      </c>
      <c r="G297" s="342" t="s">
        <v>695</v>
      </c>
      <c r="H297" s="342" t="s">
        <v>696</v>
      </c>
    </row>
    <row r="298" spans="1:8" x14ac:dyDescent="0.25">
      <c r="A298" s="343">
        <v>318</v>
      </c>
      <c r="B298" s="343">
        <v>161</v>
      </c>
      <c r="C298" s="342" t="s">
        <v>692</v>
      </c>
      <c r="D298" s="342" t="s">
        <v>693</v>
      </c>
      <c r="E298" s="342" t="s">
        <v>643</v>
      </c>
      <c r="F298" s="342" t="s">
        <v>1090</v>
      </c>
      <c r="G298" s="342" t="s">
        <v>695</v>
      </c>
      <c r="H298" s="342" t="s">
        <v>696</v>
      </c>
    </row>
    <row r="299" spans="1:8" x14ac:dyDescent="0.25">
      <c r="A299" s="343">
        <v>330</v>
      </c>
      <c r="B299" s="343">
        <v>63856</v>
      </c>
      <c r="C299" s="342" t="s">
        <v>701</v>
      </c>
      <c r="D299" s="342" t="s">
        <v>749</v>
      </c>
      <c r="E299" s="342" t="s">
        <v>408</v>
      </c>
      <c r="F299" s="342" t="s">
        <v>1091</v>
      </c>
      <c r="G299" s="342" t="s">
        <v>695</v>
      </c>
      <c r="H299" s="342" t="s">
        <v>696</v>
      </c>
    </row>
    <row r="300" spans="1:8" x14ac:dyDescent="0.25">
      <c r="A300" s="343">
        <v>452</v>
      </c>
      <c r="B300" s="343">
        <v>64086</v>
      </c>
      <c r="C300" s="342" t="s">
        <v>692</v>
      </c>
      <c r="D300" s="342" t="s">
        <v>827</v>
      </c>
      <c r="E300" s="342" t="s">
        <v>526</v>
      </c>
      <c r="F300" s="342" t="s">
        <v>1092</v>
      </c>
      <c r="G300" s="342" t="s">
        <v>695</v>
      </c>
      <c r="H300" s="342" t="s">
        <v>726</v>
      </c>
    </row>
    <row r="301" spans="1:8" x14ac:dyDescent="0.25">
      <c r="A301" s="343">
        <v>612</v>
      </c>
      <c r="B301" s="343">
        <v>63938</v>
      </c>
      <c r="C301" s="342" t="s">
        <v>692</v>
      </c>
      <c r="D301" s="342" t="s">
        <v>803</v>
      </c>
      <c r="E301" s="342" t="s">
        <v>533</v>
      </c>
      <c r="F301" s="342" t="s">
        <v>1093</v>
      </c>
      <c r="G301" s="342" t="s">
        <v>695</v>
      </c>
      <c r="H301" s="342" t="s">
        <v>1051</v>
      </c>
    </row>
    <row r="302" spans="1:8" x14ac:dyDescent="0.25">
      <c r="A302" s="343">
        <v>634</v>
      </c>
      <c r="B302" s="343">
        <v>48967</v>
      </c>
      <c r="C302" s="342" t="s">
        <v>740</v>
      </c>
      <c r="D302" s="342" t="s">
        <v>741</v>
      </c>
      <c r="E302" s="342" t="s">
        <v>654</v>
      </c>
      <c r="F302" s="342" t="s">
        <v>1094</v>
      </c>
      <c r="G302" s="342" t="s">
        <v>695</v>
      </c>
      <c r="H302" s="342" t="s">
        <v>700</v>
      </c>
    </row>
    <row r="303" spans="1:8" x14ac:dyDescent="0.25">
      <c r="A303" s="343">
        <v>654</v>
      </c>
      <c r="B303" s="343">
        <v>64104</v>
      </c>
      <c r="C303" s="342" t="s">
        <v>701</v>
      </c>
      <c r="D303" s="342" t="s">
        <v>744</v>
      </c>
      <c r="E303" s="342" t="s">
        <v>535</v>
      </c>
      <c r="F303" s="342" t="s">
        <v>1095</v>
      </c>
      <c r="G303" s="342" t="s">
        <v>695</v>
      </c>
      <c r="H303" s="342" t="s">
        <v>734</v>
      </c>
    </row>
    <row r="304" spans="1:8" x14ac:dyDescent="0.25">
      <c r="A304" s="343">
        <v>709</v>
      </c>
      <c r="B304" s="343">
        <v>64106</v>
      </c>
      <c r="C304" s="342" t="s">
        <v>701</v>
      </c>
      <c r="D304" s="342" t="s">
        <v>744</v>
      </c>
      <c r="E304" s="342" t="s">
        <v>535</v>
      </c>
      <c r="F304" s="342" t="s">
        <v>1096</v>
      </c>
      <c r="G304" s="342" t="s">
        <v>695</v>
      </c>
      <c r="H304" s="342" t="s">
        <v>726</v>
      </c>
    </row>
    <row r="305" spans="1:8" x14ac:dyDescent="0.25">
      <c r="A305" s="343">
        <v>728</v>
      </c>
      <c r="B305" s="343">
        <v>64744</v>
      </c>
      <c r="C305" s="342" t="s">
        <v>692</v>
      </c>
      <c r="D305" s="342" t="s">
        <v>803</v>
      </c>
      <c r="E305" s="342" t="s">
        <v>656</v>
      </c>
      <c r="F305" s="342" t="s">
        <v>1097</v>
      </c>
      <c r="G305" s="342" t="s">
        <v>805</v>
      </c>
      <c r="H305" s="342" t="s">
        <v>883</v>
      </c>
    </row>
    <row r="306" spans="1:8" x14ac:dyDescent="0.25">
      <c r="A306" s="343">
        <v>731</v>
      </c>
      <c r="B306" s="343">
        <v>64212</v>
      </c>
      <c r="C306" s="342" t="s">
        <v>697</v>
      </c>
      <c r="D306" s="342" t="s">
        <v>874</v>
      </c>
      <c r="E306" s="342" t="s">
        <v>668</v>
      </c>
      <c r="F306" s="342" t="s">
        <v>1098</v>
      </c>
      <c r="G306" s="342" t="s">
        <v>1099</v>
      </c>
      <c r="H306" s="342" t="s">
        <v>1100</v>
      </c>
    </row>
    <row r="307" spans="1:8" x14ac:dyDescent="0.25">
      <c r="A307" s="343">
        <v>733</v>
      </c>
      <c r="B307" s="343">
        <v>64298</v>
      </c>
      <c r="C307" s="342" t="s">
        <v>740</v>
      </c>
      <c r="D307" s="342" t="s">
        <v>741</v>
      </c>
      <c r="E307" s="342" t="s">
        <v>654</v>
      </c>
      <c r="F307" s="342" t="s">
        <v>1101</v>
      </c>
      <c r="G307" s="342" t="s">
        <v>695</v>
      </c>
      <c r="H307" s="342" t="s">
        <v>726</v>
      </c>
    </row>
    <row r="308" spans="1:8" x14ac:dyDescent="0.25">
      <c r="A308" s="343">
        <v>753</v>
      </c>
      <c r="B308" s="343">
        <v>64157</v>
      </c>
      <c r="C308" s="342" t="s">
        <v>692</v>
      </c>
      <c r="D308" s="342" t="s">
        <v>827</v>
      </c>
      <c r="E308" s="342" t="s">
        <v>629</v>
      </c>
      <c r="F308" s="342" t="s">
        <v>1102</v>
      </c>
      <c r="G308" s="342" t="s">
        <v>695</v>
      </c>
      <c r="H308" s="342" t="s">
        <v>726</v>
      </c>
    </row>
    <row r="309" spans="1:8" x14ac:dyDescent="0.25">
      <c r="A309" s="343">
        <v>771</v>
      </c>
      <c r="B309" s="343">
        <v>52089</v>
      </c>
      <c r="C309" s="342" t="s">
        <v>692</v>
      </c>
      <c r="D309" s="342" t="s">
        <v>803</v>
      </c>
      <c r="E309" s="342" t="s">
        <v>533</v>
      </c>
      <c r="F309" s="342" t="s">
        <v>1103</v>
      </c>
      <c r="G309" s="342" t="s">
        <v>695</v>
      </c>
      <c r="H309" s="342" t="s">
        <v>696</v>
      </c>
    </row>
    <row r="310" spans="1:8" x14ac:dyDescent="0.25">
      <c r="A310" s="343">
        <v>804</v>
      </c>
      <c r="B310" s="343">
        <v>64308</v>
      </c>
      <c r="C310" s="342" t="s">
        <v>740</v>
      </c>
      <c r="D310" s="342" t="s">
        <v>741</v>
      </c>
      <c r="E310" s="342" t="s">
        <v>654</v>
      </c>
      <c r="F310" s="342" t="s">
        <v>1104</v>
      </c>
      <c r="G310" s="342" t="s">
        <v>695</v>
      </c>
      <c r="H310" s="342" t="s">
        <v>705</v>
      </c>
    </row>
    <row r="311" spans="1:8" x14ac:dyDescent="0.25">
      <c r="A311" s="343">
        <v>936</v>
      </c>
      <c r="B311" s="343">
        <v>67850</v>
      </c>
      <c r="C311" s="342" t="s">
        <v>740</v>
      </c>
      <c r="D311" s="342" t="s">
        <v>741</v>
      </c>
      <c r="E311" s="342" t="s">
        <v>654</v>
      </c>
      <c r="F311" s="342" t="s">
        <v>1105</v>
      </c>
      <c r="G311" s="342" t="s">
        <v>805</v>
      </c>
      <c r="H311" s="342" t="s">
        <v>962</v>
      </c>
    </row>
    <row r="312" spans="1:8" x14ac:dyDescent="0.25">
      <c r="A312" s="343">
        <v>1027</v>
      </c>
      <c r="B312" s="343">
        <v>55858</v>
      </c>
      <c r="C312" s="342" t="s">
        <v>767</v>
      </c>
      <c r="D312" s="342" t="s">
        <v>892</v>
      </c>
      <c r="E312" s="342" t="s">
        <v>457</v>
      </c>
      <c r="F312" s="342" t="s">
        <v>1106</v>
      </c>
      <c r="G312" s="342" t="s">
        <v>997</v>
      </c>
      <c r="H312" s="342" t="s">
        <v>997</v>
      </c>
    </row>
    <row r="313" spans="1:8" x14ac:dyDescent="0.25">
      <c r="A313" s="343">
        <v>1041</v>
      </c>
      <c r="B313" s="343">
        <v>68050</v>
      </c>
      <c r="C313" s="342" t="s">
        <v>692</v>
      </c>
      <c r="D313" s="342" t="s">
        <v>865</v>
      </c>
      <c r="E313" s="342" t="s">
        <v>658</v>
      </c>
      <c r="F313" s="342" t="s">
        <v>1107</v>
      </c>
      <c r="G313" s="342" t="s">
        <v>1099</v>
      </c>
      <c r="H313" s="342" t="s">
        <v>1100</v>
      </c>
    </row>
    <row r="314" spans="1:8" x14ac:dyDescent="0.25">
      <c r="A314" s="343">
        <v>17</v>
      </c>
      <c r="B314" s="343">
        <v>316</v>
      </c>
      <c r="C314" s="342" t="s">
        <v>701</v>
      </c>
      <c r="D314" s="342" t="s">
        <v>724</v>
      </c>
      <c r="E314" s="342" t="s">
        <v>375</v>
      </c>
      <c r="F314" s="342" t="s">
        <v>1108</v>
      </c>
      <c r="G314" s="342" t="s">
        <v>695</v>
      </c>
      <c r="H314" s="342" t="s">
        <v>696</v>
      </c>
    </row>
    <row r="315" spans="1:8" x14ac:dyDescent="0.25">
      <c r="A315" s="343">
        <v>46</v>
      </c>
      <c r="B315" s="343">
        <v>130</v>
      </c>
      <c r="C315" s="342" t="s">
        <v>767</v>
      </c>
      <c r="D315" s="342" t="s">
        <v>895</v>
      </c>
      <c r="E315" s="342" t="s">
        <v>407</v>
      </c>
      <c r="F315" s="342" t="s">
        <v>1109</v>
      </c>
      <c r="G315" s="342" t="s">
        <v>695</v>
      </c>
      <c r="H315" s="342" t="s">
        <v>696</v>
      </c>
    </row>
    <row r="316" spans="1:8" x14ac:dyDescent="0.25">
      <c r="A316" s="343">
        <v>152</v>
      </c>
      <c r="B316" s="343">
        <v>43797</v>
      </c>
      <c r="C316" s="342" t="s">
        <v>697</v>
      </c>
      <c r="D316" s="342" t="s">
        <v>874</v>
      </c>
      <c r="E316" s="342" t="s">
        <v>517</v>
      </c>
      <c r="F316" s="342" t="s">
        <v>1110</v>
      </c>
      <c r="G316" s="342" t="s">
        <v>695</v>
      </c>
      <c r="H316" s="342" t="s">
        <v>696</v>
      </c>
    </row>
    <row r="317" spans="1:8" x14ac:dyDescent="0.25">
      <c r="A317" s="343">
        <v>222</v>
      </c>
      <c r="B317" s="343">
        <v>64296</v>
      </c>
      <c r="C317" s="342" t="s">
        <v>767</v>
      </c>
      <c r="D317" s="342" t="s">
        <v>895</v>
      </c>
      <c r="E317" s="342" t="s">
        <v>590</v>
      </c>
      <c r="F317" s="342" t="s">
        <v>1111</v>
      </c>
      <c r="G317" s="342" t="s">
        <v>695</v>
      </c>
      <c r="H317" s="342" t="s">
        <v>696</v>
      </c>
    </row>
    <row r="318" spans="1:8" x14ac:dyDescent="0.25">
      <c r="A318" s="343">
        <v>231</v>
      </c>
      <c r="B318" s="343">
        <v>43834</v>
      </c>
      <c r="C318" s="342" t="s">
        <v>697</v>
      </c>
      <c r="D318" s="342" t="s">
        <v>877</v>
      </c>
      <c r="E318" s="342" t="s">
        <v>600</v>
      </c>
      <c r="F318" s="342" t="s">
        <v>1112</v>
      </c>
      <c r="G318" s="342" t="s">
        <v>695</v>
      </c>
      <c r="H318" s="342" t="s">
        <v>696</v>
      </c>
    </row>
    <row r="319" spans="1:8" x14ac:dyDescent="0.25">
      <c r="A319" s="343">
        <v>240</v>
      </c>
      <c r="B319" s="343">
        <v>39</v>
      </c>
      <c r="C319" s="342" t="s">
        <v>767</v>
      </c>
      <c r="D319" s="342" t="s">
        <v>895</v>
      </c>
      <c r="E319" s="342" t="s">
        <v>609</v>
      </c>
      <c r="F319" s="342" t="s">
        <v>1113</v>
      </c>
      <c r="G319" s="342" t="s">
        <v>695</v>
      </c>
      <c r="H319" s="342" t="s">
        <v>696</v>
      </c>
    </row>
    <row r="320" spans="1:8" x14ac:dyDescent="0.25">
      <c r="A320" s="343">
        <v>254</v>
      </c>
      <c r="B320" s="343">
        <v>48923</v>
      </c>
      <c r="C320" s="342" t="s">
        <v>701</v>
      </c>
      <c r="D320" s="342" t="s">
        <v>702</v>
      </c>
      <c r="E320" s="342" t="s">
        <v>625</v>
      </c>
      <c r="F320" s="342" t="s">
        <v>1114</v>
      </c>
      <c r="G320" s="342" t="s">
        <v>695</v>
      </c>
      <c r="H320" s="342" t="s">
        <v>696</v>
      </c>
    </row>
    <row r="321" spans="1:8" x14ac:dyDescent="0.25">
      <c r="A321" s="343">
        <v>280</v>
      </c>
      <c r="B321" s="343">
        <v>230</v>
      </c>
      <c r="C321" s="342" t="s">
        <v>701</v>
      </c>
      <c r="D321" s="342" t="s">
        <v>718</v>
      </c>
      <c r="E321" s="342" t="s">
        <v>650</v>
      </c>
      <c r="F321" s="342" t="s">
        <v>1115</v>
      </c>
      <c r="G321" s="342" t="s">
        <v>695</v>
      </c>
      <c r="H321" s="342" t="s">
        <v>696</v>
      </c>
    </row>
    <row r="322" spans="1:8" x14ac:dyDescent="0.25">
      <c r="A322" s="343">
        <v>306</v>
      </c>
      <c r="B322" s="343">
        <v>48910</v>
      </c>
      <c r="C322" s="342" t="s">
        <v>701</v>
      </c>
      <c r="D322" s="342" t="s">
        <v>729</v>
      </c>
      <c r="E322" s="342" t="s">
        <v>675</v>
      </c>
      <c r="F322" s="342" t="s">
        <v>1116</v>
      </c>
      <c r="G322" s="342" t="s">
        <v>695</v>
      </c>
      <c r="H322" s="342" t="s">
        <v>696</v>
      </c>
    </row>
    <row r="323" spans="1:8" x14ac:dyDescent="0.25">
      <c r="A323" s="343">
        <v>533</v>
      </c>
      <c r="B323" s="343">
        <v>25748</v>
      </c>
      <c r="C323" s="342" t="s">
        <v>701</v>
      </c>
      <c r="D323" s="342" t="s">
        <v>727</v>
      </c>
      <c r="E323" s="342" t="s">
        <v>450</v>
      </c>
      <c r="F323" s="342" t="s">
        <v>1117</v>
      </c>
      <c r="G323" s="342" t="s">
        <v>695</v>
      </c>
      <c r="H323" s="342" t="s">
        <v>726</v>
      </c>
    </row>
    <row r="324" spans="1:8" x14ac:dyDescent="0.25">
      <c r="A324" s="343">
        <v>600</v>
      </c>
      <c r="B324" s="343">
        <v>66543</v>
      </c>
      <c r="C324" s="342" t="s">
        <v>701</v>
      </c>
      <c r="D324" s="342" t="s">
        <v>718</v>
      </c>
      <c r="E324" s="342" t="s">
        <v>653</v>
      </c>
      <c r="F324" s="342" t="s">
        <v>1118</v>
      </c>
      <c r="G324" s="342" t="s">
        <v>737</v>
      </c>
      <c r="H324" s="342" t="s">
        <v>738</v>
      </c>
    </row>
    <row r="325" spans="1:8" x14ac:dyDescent="0.25">
      <c r="A325" s="343">
        <v>628</v>
      </c>
      <c r="B325" s="343">
        <v>63769</v>
      </c>
      <c r="C325" s="342" t="s">
        <v>701</v>
      </c>
      <c r="D325" s="342" t="s">
        <v>724</v>
      </c>
      <c r="E325" s="342" t="s">
        <v>375</v>
      </c>
      <c r="F325" s="342" t="s">
        <v>1119</v>
      </c>
      <c r="G325" s="342" t="s">
        <v>695</v>
      </c>
      <c r="H325" s="342" t="s">
        <v>726</v>
      </c>
    </row>
    <row r="326" spans="1:8" x14ac:dyDescent="0.25">
      <c r="A326" s="343">
        <v>712</v>
      </c>
      <c r="B326" s="343">
        <v>63814</v>
      </c>
      <c r="C326" s="342" t="s">
        <v>706</v>
      </c>
      <c r="D326" s="342" t="s">
        <v>907</v>
      </c>
      <c r="E326" s="342" t="s">
        <v>547</v>
      </c>
      <c r="F326" s="342" t="s">
        <v>1120</v>
      </c>
      <c r="G326" s="342" t="s">
        <v>695</v>
      </c>
      <c r="H326" s="342" t="s">
        <v>726</v>
      </c>
    </row>
    <row r="327" spans="1:8" x14ac:dyDescent="0.25">
      <c r="A327" s="343">
        <v>808</v>
      </c>
      <c r="B327" s="343">
        <v>64237</v>
      </c>
      <c r="C327" s="342" t="s">
        <v>697</v>
      </c>
      <c r="D327" s="342" t="s">
        <v>698</v>
      </c>
      <c r="E327" s="342" t="s">
        <v>597</v>
      </c>
      <c r="F327" s="342" t="s">
        <v>1121</v>
      </c>
      <c r="G327" s="342" t="s">
        <v>695</v>
      </c>
      <c r="H327" s="342" t="s">
        <v>726</v>
      </c>
    </row>
    <row r="328" spans="1:8" x14ac:dyDescent="0.25">
      <c r="A328" s="343">
        <v>25</v>
      </c>
      <c r="B328" s="343">
        <v>51017</v>
      </c>
      <c r="C328" s="342" t="s">
        <v>697</v>
      </c>
      <c r="D328" s="342" t="s">
        <v>874</v>
      </c>
      <c r="E328" s="342" t="s">
        <v>384</v>
      </c>
      <c r="F328" s="342" t="s">
        <v>1122</v>
      </c>
      <c r="G328" s="342" t="s">
        <v>695</v>
      </c>
      <c r="H328" s="342" t="s">
        <v>696</v>
      </c>
    </row>
    <row r="329" spans="1:8" x14ac:dyDescent="0.25">
      <c r="A329" s="343">
        <v>30</v>
      </c>
      <c r="B329" s="343">
        <v>45489</v>
      </c>
      <c r="C329" s="342" t="s">
        <v>779</v>
      </c>
      <c r="D329" s="342" t="s">
        <v>780</v>
      </c>
      <c r="E329" s="342" t="s">
        <v>390</v>
      </c>
      <c r="F329" s="342" t="s">
        <v>1123</v>
      </c>
      <c r="G329" s="342" t="s">
        <v>695</v>
      </c>
      <c r="H329" s="342" t="s">
        <v>696</v>
      </c>
    </row>
    <row r="330" spans="1:8" x14ac:dyDescent="0.25">
      <c r="A330" s="343">
        <v>59</v>
      </c>
      <c r="B330" s="343">
        <v>208</v>
      </c>
      <c r="C330" s="342" t="s">
        <v>832</v>
      </c>
      <c r="D330" s="342" t="s">
        <v>833</v>
      </c>
      <c r="E330" s="342" t="s">
        <v>1124</v>
      </c>
      <c r="F330" s="342" t="s">
        <v>1125</v>
      </c>
      <c r="G330" s="342" t="s">
        <v>695</v>
      </c>
      <c r="H330" s="342" t="s">
        <v>696</v>
      </c>
    </row>
    <row r="331" spans="1:8" x14ac:dyDescent="0.25">
      <c r="A331" s="343">
        <v>138</v>
      </c>
      <c r="B331" s="343">
        <v>64325</v>
      </c>
      <c r="C331" s="342" t="s">
        <v>692</v>
      </c>
      <c r="D331" s="342" t="s">
        <v>722</v>
      </c>
      <c r="E331" s="342" t="s">
        <v>502</v>
      </c>
      <c r="F331" s="342" t="s">
        <v>1126</v>
      </c>
      <c r="G331" s="342" t="s">
        <v>695</v>
      </c>
      <c r="H331" s="342" t="s">
        <v>696</v>
      </c>
    </row>
    <row r="332" spans="1:8" x14ac:dyDescent="0.25">
      <c r="A332" s="343">
        <v>190</v>
      </c>
      <c r="B332" s="343">
        <v>48658</v>
      </c>
      <c r="C332" s="342" t="s">
        <v>706</v>
      </c>
      <c r="D332" s="342" t="s">
        <v>720</v>
      </c>
      <c r="E332" s="342" t="s">
        <v>556</v>
      </c>
      <c r="F332" s="342" t="s">
        <v>1127</v>
      </c>
      <c r="G332" s="342" t="s">
        <v>695</v>
      </c>
      <c r="H332" s="342" t="s">
        <v>696</v>
      </c>
    </row>
    <row r="333" spans="1:8" x14ac:dyDescent="0.25">
      <c r="A333" s="343">
        <v>216</v>
      </c>
      <c r="B333" s="343">
        <v>256</v>
      </c>
      <c r="C333" s="342" t="s">
        <v>697</v>
      </c>
      <c r="D333" s="342" t="s">
        <v>698</v>
      </c>
      <c r="E333" s="342" t="s">
        <v>584</v>
      </c>
      <c r="F333" s="342" t="s">
        <v>1128</v>
      </c>
      <c r="G333" s="342" t="s">
        <v>695</v>
      </c>
      <c r="H333" s="342" t="s">
        <v>696</v>
      </c>
    </row>
    <row r="334" spans="1:8" x14ac:dyDescent="0.25">
      <c r="A334" s="343">
        <v>220</v>
      </c>
      <c r="B334" s="343">
        <v>64232</v>
      </c>
      <c r="C334" s="342" t="s">
        <v>692</v>
      </c>
      <c r="D334" s="342" t="s">
        <v>803</v>
      </c>
      <c r="E334" s="342" t="s">
        <v>588</v>
      </c>
      <c r="F334" s="342" t="s">
        <v>1129</v>
      </c>
      <c r="G334" s="342" t="s">
        <v>695</v>
      </c>
      <c r="H334" s="342" t="s">
        <v>696</v>
      </c>
    </row>
    <row r="335" spans="1:8" x14ac:dyDescent="0.25">
      <c r="A335" s="343">
        <v>272</v>
      </c>
      <c r="B335" s="343">
        <v>247</v>
      </c>
      <c r="C335" s="342" t="s">
        <v>832</v>
      </c>
      <c r="D335" s="342" t="s">
        <v>928</v>
      </c>
      <c r="E335" s="342" t="s">
        <v>641</v>
      </c>
      <c r="F335" s="342" t="s">
        <v>1130</v>
      </c>
      <c r="G335" s="342" t="s">
        <v>695</v>
      </c>
      <c r="H335" s="342" t="s">
        <v>696</v>
      </c>
    </row>
    <row r="336" spans="1:8" x14ac:dyDescent="0.25">
      <c r="A336" s="343">
        <v>276</v>
      </c>
      <c r="B336" s="343">
        <v>48231</v>
      </c>
      <c r="C336" s="342" t="s">
        <v>789</v>
      </c>
      <c r="D336" s="342" t="s">
        <v>913</v>
      </c>
      <c r="E336" s="342" t="s">
        <v>646</v>
      </c>
      <c r="F336" s="342" t="s">
        <v>1131</v>
      </c>
      <c r="G336" s="342" t="s">
        <v>695</v>
      </c>
      <c r="H336" s="342" t="s">
        <v>696</v>
      </c>
    </row>
    <row r="337" spans="1:8" x14ac:dyDescent="0.25">
      <c r="A337" s="343">
        <v>286</v>
      </c>
      <c r="B337" s="343">
        <v>240</v>
      </c>
      <c r="C337" s="342" t="s">
        <v>692</v>
      </c>
      <c r="D337" s="342" t="s">
        <v>803</v>
      </c>
      <c r="E337" s="342" t="s">
        <v>656</v>
      </c>
      <c r="F337" s="342" t="s">
        <v>1132</v>
      </c>
      <c r="G337" s="342" t="s">
        <v>695</v>
      </c>
      <c r="H337" s="342" t="s">
        <v>696</v>
      </c>
    </row>
    <row r="338" spans="1:8" x14ac:dyDescent="0.25">
      <c r="A338" s="343">
        <v>340</v>
      </c>
      <c r="B338" s="343">
        <v>64322</v>
      </c>
      <c r="C338" s="342" t="s">
        <v>701</v>
      </c>
      <c r="D338" s="342" t="s">
        <v>749</v>
      </c>
      <c r="E338" s="342" t="s">
        <v>673</v>
      </c>
      <c r="F338" s="342" t="s">
        <v>1133</v>
      </c>
      <c r="G338" s="342" t="s">
        <v>695</v>
      </c>
      <c r="H338" s="342" t="s">
        <v>787</v>
      </c>
    </row>
    <row r="339" spans="1:8" x14ac:dyDescent="0.25">
      <c r="A339" s="343">
        <v>491</v>
      </c>
      <c r="B339" s="343">
        <v>64323</v>
      </c>
      <c r="C339" s="342" t="s">
        <v>701</v>
      </c>
      <c r="D339" s="342" t="s">
        <v>749</v>
      </c>
      <c r="E339" s="342" t="s">
        <v>673</v>
      </c>
      <c r="F339" s="342" t="s">
        <v>1134</v>
      </c>
      <c r="G339" s="342" t="s">
        <v>695</v>
      </c>
      <c r="H339" s="342" t="s">
        <v>734</v>
      </c>
    </row>
    <row r="340" spans="1:8" x14ac:dyDescent="0.25">
      <c r="A340" s="343">
        <v>496</v>
      </c>
      <c r="B340" s="343">
        <v>243</v>
      </c>
      <c r="C340" s="342" t="s">
        <v>740</v>
      </c>
      <c r="D340" s="342" t="s">
        <v>765</v>
      </c>
      <c r="E340" s="342" t="s">
        <v>482</v>
      </c>
      <c r="F340" s="342" t="s">
        <v>1135</v>
      </c>
      <c r="G340" s="342" t="s">
        <v>695</v>
      </c>
      <c r="H340" s="342" t="s">
        <v>696</v>
      </c>
    </row>
    <row r="341" spans="1:8" x14ac:dyDescent="0.25">
      <c r="A341" s="343">
        <v>534</v>
      </c>
      <c r="B341" s="343">
        <v>63984</v>
      </c>
      <c r="C341" s="342" t="s">
        <v>832</v>
      </c>
      <c r="D341" s="342" t="s">
        <v>837</v>
      </c>
      <c r="E341" s="342" t="s">
        <v>512</v>
      </c>
      <c r="F341" s="342" t="s">
        <v>1136</v>
      </c>
      <c r="G341" s="342" t="s">
        <v>695</v>
      </c>
      <c r="H341" s="342" t="s">
        <v>734</v>
      </c>
    </row>
    <row r="342" spans="1:8" x14ac:dyDescent="0.25">
      <c r="A342" s="343">
        <v>552</v>
      </c>
      <c r="B342" s="343">
        <v>63986</v>
      </c>
      <c r="C342" s="342" t="s">
        <v>832</v>
      </c>
      <c r="D342" s="342" t="s">
        <v>837</v>
      </c>
      <c r="E342" s="342" t="s">
        <v>512</v>
      </c>
      <c r="F342" s="342" t="s">
        <v>1137</v>
      </c>
      <c r="G342" s="342" t="s">
        <v>695</v>
      </c>
      <c r="H342" s="342" t="s">
        <v>726</v>
      </c>
    </row>
    <row r="343" spans="1:8" x14ac:dyDescent="0.25">
      <c r="A343" s="343">
        <v>562</v>
      </c>
      <c r="B343" s="343">
        <v>64235</v>
      </c>
      <c r="C343" s="342" t="s">
        <v>697</v>
      </c>
      <c r="D343" s="342" t="s">
        <v>877</v>
      </c>
      <c r="E343" s="342" t="s">
        <v>600</v>
      </c>
      <c r="F343" s="342" t="s">
        <v>1138</v>
      </c>
      <c r="G343" s="342" t="s">
        <v>695</v>
      </c>
      <c r="H343" s="342" t="s">
        <v>726</v>
      </c>
    </row>
    <row r="344" spans="1:8" x14ac:dyDescent="0.25">
      <c r="A344" s="343">
        <v>618</v>
      </c>
      <c r="B344" s="343">
        <v>172</v>
      </c>
      <c r="C344" s="342" t="s">
        <v>832</v>
      </c>
      <c r="D344" s="342" t="s">
        <v>928</v>
      </c>
      <c r="E344" s="342" t="s">
        <v>641</v>
      </c>
      <c r="F344" s="342" t="s">
        <v>1139</v>
      </c>
      <c r="G344" s="342" t="s">
        <v>695</v>
      </c>
      <c r="H344" s="342" t="s">
        <v>856</v>
      </c>
    </row>
    <row r="345" spans="1:8" x14ac:dyDescent="0.25">
      <c r="A345" s="343">
        <v>723</v>
      </c>
      <c r="B345" s="343">
        <v>64233</v>
      </c>
      <c r="C345" s="342" t="s">
        <v>692</v>
      </c>
      <c r="D345" s="342" t="s">
        <v>803</v>
      </c>
      <c r="E345" s="342" t="s">
        <v>588</v>
      </c>
      <c r="F345" s="342" t="s">
        <v>1140</v>
      </c>
      <c r="G345" s="342" t="s">
        <v>1099</v>
      </c>
      <c r="H345" s="342" t="s">
        <v>1100</v>
      </c>
    </row>
    <row r="346" spans="1:8" x14ac:dyDescent="0.25">
      <c r="A346" s="343">
        <v>983</v>
      </c>
      <c r="B346" s="343">
        <v>19315</v>
      </c>
      <c r="C346" s="342" t="s">
        <v>692</v>
      </c>
      <c r="D346" s="342" t="s">
        <v>693</v>
      </c>
      <c r="E346" s="342" t="s">
        <v>643</v>
      </c>
      <c r="F346" s="342" t="s">
        <v>1141</v>
      </c>
      <c r="G346" s="342" t="s">
        <v>805</v>
      </c>
      <c r="H346" s="342" t="s">
        <v>1142</v>
      </c>
    </row>
    <row r="347" spans="1:8" x14ac:dyDescent="0.25">
      <c r="A347" s="343">
        <v>1026</v>
      </c>
      <c r="B347" s="343">
        <v>67881</v>
      </c>
      <c r="C347" s="342" t="s">
        <v>832</v>
      </c>
      <c r="D347" s="342" t="s">
        <v>909</v>
      </c>
      <c r="E347" s="342" t="s">
        <v>475</v>
      </c>
      <c r="F347" s="342" t="s">
        <v>1143</v>
      </c>
      <c r="G347" s="342" t="s">
        <v>695</v>
      </c>
      <c r="H347" s="342" t="s">
        <v>696</v>
      </c>
    </row>
    <row r="348" spans="1:8" x14ac:dyDescent="0.25">
      <c r="A348" s="343">
        <v>153</v>
      </c>
      <c r="B348" s="343">
        <v>64045</v>
      </c>
      <c r="C348" s="342" t="s">
        <v>832</v>
      </c>
      <c r="D348" s="342" t="s">
        <v>897</v>
      </c>
      <c r="E348" s="342" t="s">
        <v>518</v>
      </c>
      <c r="F348" s="342" t="s">
        <v>1144</v>
      </c>
      <c r="G348" s="342" t="s">
        <v>695</v>
      </c>
      <c r="H348" s="342" t="s">
        <v>696</v>
      </c>
    </row>
    <row r="349" spans="1:8" x14ac:dyDescent="0.25">
      <c r="A349" s="343">
        <v>239</v>
      </c>
      <c r="B349" s="343">
        <v>211</v>
      </c>
      <c r="C349" s="342" t="s">
        <v>692</v>
      </c>
      <c r="D349" s="342" t="s">
        <v>827</v>
      </c>
      <c r="E349" s="342" t="s">
        <v>608</v>
      </c>
      <c r="F349" s="342" t="s">
        <v>1145</v>
      </c>
      <c r="G349" s="342" t="s">
        <v>695</v>
      </c>
      <c r="H349" s="342" t="s">
        <v>696</v>
      </c>
    </row>
    <row r="350" spans="1:8" x14ac:dyDescent="0.25">
      <c r="A350" s="343">
        <v>327</v>
      </c>
      <c r="B350" s="343">
        <v>24399</v>
      </c>
      <c r="C350" s="342" t="s">
        <v>692</v>
      </c>
      <c r="D350" s="342" t="s">
        <v>693</v>
      </c>
      <c r="E350" s="342" t="s">
        <v>643</v>
      </c>
      <c r="F350" s="342" t="s">
        <v>1146</v>
      </c>
      <c r="G350" s="342" t="s">
        <v>695</v>
      </c>
      <c r="H350" s="342" t="s">
        <v>1045</v>
      </c>
    </row>
    <row r="351" spans="1:8" x14ac:dyDescent="0.25">
      <c r="A351" s="343">
        <v>356</v>
      </c>
      <c r="B351" s="343">
        <v>64735</v>
      </c>
      <c r="C351" s="342" t="s">
        <v>692</v>
      </c>
      <c r="D351" s="342" t="s">
        <v>827</v>
      </c>
      <c r="E351" s="342" t="s">
        <v>608</v>
      </c>
      <c r="F351" s="342" t="s">
        <v>1147</v>
      </c>
      <c r="G351" s="342" t="s">
        <v>695</v>
      </c>
      <c r="H351" s="342" t="s">
        <v>734</v>
      </c>
    </row>
    <row r="352" spans="1:8" x14ac:dyDescent="0.25">
      <c r="A352" s="343">
        <v>494</v>
      </c>
      <c r="B352" s="343">
        <v>64118</v>
      </c>
      <c r="C352" s="342" t="s">
        <v>706</v>
      </c>
      <c r="D352" s="342" t="s">
        <v>707</v>
      </c>
      <c r="E352" s="342" t="s">
        <v>446</v>
      </c>
      <c r="F352" s="342" t="s">
        <v>1148</v>
      </c>
      <c r="G352" s="342" t="s">
        <v>695</v>
      </c>
      <c r="H352" s="342" t="s">
        <v>734</v>
      </c>
    </row>
    <row r="353" spans="1:8" x14ac:dyDescent="0.25">
      <c r="A353" s="343">
        <v>515</v>
      </c>
      <c r="B353" s="343">
        <v>63883</v>
      </c>
      <c r="C353" s="342" t="s">
        <v>832</v>
      </c>
      <c r="D353" s="342" t="s">
        <v>897</v>
      </c>
      <c r="E353" s="342" t="s">
        <v>437</v>
      </c>
      <c r="F353" s="342" t="s">
        <v>1149</v>
      </c>
      <c r="G353" s="342" t="s">
        <v>695</v>
      </c>
      <c r="H353" s="342" t="s">
        <v>856</v>
      </c>
    </row>
    <row r="354" spans="1:8" x14ac:dyDescent="0.25">
      <c r="A354" s="343">
        <v>556</v>
      </c>
      <c r="B354" s="343">
        <v>64230</v>
      </c>
      <c r="C354" s="342" t="s">
        <v>701</v>
      </c>
      <c r="D354" s="342" t="s">
        <v>702</v>
      </c>
      <c r="E354" s="342" t="s">
        <v>593</v>
      </c>
      <c r="F354" s="342" t="s">
        <v>1150</v>
      </c>
      <c r="G354" s="342" t="s">
        <v>695</v>
      </c>
      <c r="H354" s="342" t="s">
        <v>734</v>
      </c>
    </row>
    <row r="355" spans="1:8" x14ac:dyDescent="0.25">
      <c r="A355" s="343">
        <v>560</v>
      </c>
      <c r="B355" s="343">
        <v>24460</v>
      </c>
      <c r="C355" s="342" t="s">
        <v>832</v>
      </c>
      <c r="D355" s="342" t="s">
        <v>909</v>
      </c>
      <c r="E355" s="342" t="s">
        <v>581</v>
      </c>
      <c r="F355" s="342" t="s">
        <v>1151</v>
      </c>
      <c r="G355" s="342" t="s">
        <v>695</v>
      </c>
      <c r="H355" s="342" t="s">
        <v>705</v>
      </c>
    </row>
    <row r="356" spans="1:8" x14ac:dyDescent="0.25">
      <c r="A356" s="343">
        <v>661</v>
      </c>
      <c r="B356" s="343">
        <v>64197</v>
      </c>
      <c r="C356" s="342" t="s">
        <v>692</v>
      </c>
      <c r="D356" s="342" t="s">
        <v>865</v>
      </c>
      <c r="E356" s="342" t="s">
        <v>658</v>
      </c>
      <c r="F356" s="342" t="s">
        <v>1152</v>
      </c>
      <c r="G356" s="342" t="s">
        <v>695</v>
      </c>
      <c r="H356" s="342" t="s">
        <v>856</v>
      </c>
    </row>
    <row r="357" spans="1:8" x14ac:dyDescent="0.25">
      <c r="A357" s="343">
        <v>663</v>
      </c>
      <c r="B357" s="343">
        <v>7471</v>
      </c>
      <c r="C357" s="342" t="s">
        <v>697</v>
      </c>
      <c r="D357" s="342" t="s">
        <v>874</v>
      </c>
      <c r="E357" s="342" t="s">
        <v>668</v>
      </c>
      <c r="F357" s="342" t="s">
        <v>1153</v>
      </c>
      <c r="G357" s="342" t="s">
        <v>805</v>
      </c>
      <c r="H357" s="342" t="s">
        <v>1154</v>
      </c>
    </row>
    <row r="358" spans="1:8" x14ac:dyDescent="0.25">
      <c r="A358" s="343">
        <v>854</v>
      </c>
      <c r="B358" s="343">
        <v>63862</v>
      </c>
      <c r="C358" s="342" t="s">
        <v>779</v>
      </c>
      <c r="D358" s="342" t="s">
        <v>1024</v>
      </c>
      <c r="E358" s="342" t="s">
        <v>404</v>
      </c>
      <c r="F358" s="342" t="s">
        <v>1155</v>
      </c>
      <c r="G358" s="342" t="s">
        <v>695</v>
      </c>
      <c r="H358" s="342" t="s">
        <v>705</v>
      </c>
    </row>
    <row r="359" spans="1:8" x14ac:dyDescent="0.25">
      <c r="A359" s="343">
        <v>930</v>
      </c>
      <c r="B359" s="343">
        <v>67238</v>
      </c>
      <c r="C359" s="342" t="s">
        <v>692</v>
      </c>
      <c r="D359" s="342" t="s">
        <v>827</v>
      </c>
      <c r="E359" s="342" t="s">
        <v>608</v>
      </c>
      <c r="F359" s="342" t="s">
        <v>1156</v>
      </c>
      <c r="G359" s="342" t="s">
        <v>805</v>
      </c>
      <c r="H359" s="342" t="s">
        <v>883</v>
      </c>
    </row>
    <row r="360" spans="1:8" x14ac:dyDescent="0.25">
      <c r="A360" s="343">
        <v>982</v>
      </c>
      <c r="B360" s="343">
        <v>67858</v>
      </c>
      <c r="C360" s="342" t="s">
        <v>692</v>
      </c>
      <c r="D360" s="342" t="s">
        <v>693</v>
      </c>
      <c r="E360" s="342" t="s">
        <v>643</v>
      </c>
      <c r="F360" s="342" t="s">
        <v>1157</v>
      </c>
      <c r="G360" s="342" t="s">
        <v>805</v>
      </c>
      <c r="H360" s="342" t="s">
        <v>883</v>
      </c>
    </row>
    <row r="361" spans="1:8" x14ac:dyDescent="0.25">
      <c r="A361" s="343">
        <v>103</v>
      </c>
      <c r="B361" s="343">
        <v>63920</v>
      </c>
      <c r="C361" s="342" t="s">
        <v>767</v>
      </c>
      <c r="D361" s="342" t="s">
        <v>770</v>
      </c>
      <c r="E361" s="342" t="s">
        <v>466</v>
      </c>
      <c r="F361" s="342" t="s">
        <v>1158</v>
      </c>
      <c r="G361" s="342" t="s">
        <v>695</v>
      </c>
      <c r="H361" s="342" t="s">
        <v>696</v>
      </c>
    </row>
    <row r="362" spans="1:8" x14ac:dyDescent="0.25">
      <c r="A362" s="343">
        <v>297</v>
      </c>
      <c r="B362" s="343">
        <v>237</v>
      </c>
      <c r="C362" s="342" t="s">
        <v>701</v>
      </c>
      <c r="D362" s="342" t="s">
        <v>711</v>
      </c>
      <c r="E362" s="342" t="s">
        <v>666</v>
      </c>
      <c r="F362" s="342" t="s">
        <v>1159</v>
      </c>
      <c r="G362" s="342" t="s">
        <v>695</v>
      </c>
      <c r="H362" s="342" t="s">
        <v>696</v>
      </c>
    </row>
    <row r="363" spans="1:8" x14ac:dyDescent="0.25">
      <c r="A363" s="343">
        <v>307</v>
      </c>
      <c r="B363" s="343">
        <v>64219</v>
      </c>
      <c r="C363" s="342" t="s">
        <v>692</v>
      </c>
      <c r="D363" s="342" t="s">
        <v>865</v>
      </c>
      <c r="E363" s="342" t="s">
        <v>676</v>
      </c>
      <c r="F363" s="342" t="s">
        <v>1160</v>
      </c>
      <c r="G363" s="342" t="s">
        <v>695</v>
      </c>
      <c r="H363" s="342" t="s">
        <v>696</v>
      </c>
    </row>
    <row r="364" spans="1:8" x14ac:dyDescent="0.25">
      <c r="A364" s="343">
        <v>315</v>
      </c>
      <c r="B364" s="343">
        <v>7</v>
      </c>
      <c r="C364" s="342" t="s">
        <v>692</v>
      </c>
      <c r="D364" s="342" t="s">
        <v>693</v>
      </c>
      <c r="E364" s="342" t="s">
        <v>643</v>
      </c>
      <c r="F364" s="342" t="s">
        <v>1161</v>
      </c>
      <c r="G364" s="342" t="s">
        <v>695</v>
      </c>
      <c r="H364" s="342" t="s">
        <v>696</v>
      </c>
    </row>
    <row r="365" spans="1:8" x14ac:dyDescent="0.25">
      <c r="A365" s="343">
        <v>905</v>
      </c>
      <c r="B365" s="343">
        <v>54825</v>
      </c>
      <c r="C365" s="342" t="s">
        <v>706</v>
      </c>
      <c r="D365" s="342" t="s">
        <v>847</v>
      </c>
      <c r="E365" s="342" t="s">
        <v>382</v>
      </c>
      <c r="F365" s="342" t="s">
        <v>1162</v>
      </c>
      <c r="G365" s="342" t="s">
        <v>695</v>
      </c>
      <c r="H365" s="342" t="s">
        <v>1045</v>
      </c>
    </row>
    <row r="366" spans="1:8" x14ac:dyDescent="0.25">
      <c r="A366" s="343">
        <v>925</v>
      </c>
      <c r="B366" s="343">
        <v>66268</v>
      </c>
      <c r="C366" s="342" t="s">
        <v>822</v>
      </c>
      <c r="D366" s="342" t="s">
        <v>889</v>
      </c>
      <c r="E366" s="342" t="s">
        <v>471</v>
      </c>
      <c r="F366" s="342" t="s">
        <v>1163</v>
      </c>
      <c r="G366" s="342" t="s">
        <v>695</v>
      </c>
      <c r="H366" s="342" t="s">
        <v>726</v>
      </c>
    </row>
    <row r="367" spans="1:8" x14ac:dyDescent="0.25">
      <c r="A367" s="343">
        <v>15</v>
      </c>
      <c r="B367" s="343">
        <v>63786</v>
      </c>
      <c r="C367" s="342" t="s">
        <v>692</v>
      </c>
      <c r="D367" s="342" t="s">
        <v>901</v>
      </c>
      <c r="E367" s="342" t="s">
        <v>373</v>
      </c>
      <c r="F367" s="342" t="s">
        <v>1164</v>
      </c>
      <c r="G367" s="342" t="s">
        <v>695</v>
      </c>
      <c r="H367" s="342" t="s">
        <v>1053</v>
      </c>
    </row>
    <row r="368" spans="1:8" x14ac:dyDescent="0.25">
      <c r="A368" s="343">
        <v>22</v>
      </c>
      <c r="B368" s="343">
        <v>63</v>
      </c>
      <c r="C368" s="342" t="s">
        <v>832</v>
      </c>
      <c r="D368" s="342" t="s">
        <v>897</v>
      </c>
      <c r="E368" s="342" t="s">
        <v>380</v>
      </c>
      <c r="F368" s="342" t="s">
        <v>1165</v>
      </c>
      <c r="G368" s="342" t="s">
        <v>695</v>
      </c>
      <c r="H368" s="342" t="s">
        <v>696</v>
      </c>
    </row>
    <row r="369" spans="1:8" x14ac:dyDescent="0.25">
      <c r="A369" s="343">
        <v>179</v>
      </c>
      <c r="B369" s="343">
        <v>127</v>
      </c>
      <c r="C369" s="342" t="s">
        <v>706</v>
      </c>
      <c r="D369" s="342" t="s">
        <v>1166</v>
      </c>
      <c r="E369" s="342" t="s">
        <v>544</v>
      </c>
      <c r="F369" s="342" t="s">
        <v>1167</v>
      </c>
      <c r="G369" s="342" t="s">
        <v>695</v>
      </c>
      <c r="H369" s="342" t="s">
        <v>696</v>
      </c>
    </row>
    <row r="370" spans="1:8" x14ac:dyDescent="0.25">
      <c r="A370" s="343">
        <v>271</v>
      </c>
      <c r="B370" s="343">
        <v>149</v>
      </c>
      <c r="C370" s="342" t="s">
        <v>789</v>
      </c>
      <c r="D370" s="342" t="s">
        <v>818</v>
      </c>
      <c r="E370" s="342" t="s">
        <v>640</v>
      </c>
      <c r="F370" s="342" t="s">
        <v>1168</v>
      </c>
      <c r="G370" s="342" t="s">
        <v>695</v>
      </c>
      <c r="H370" s="342" t="s">
        <v>696</v>
      </c>
    </row>
    <row r="371" spans="1:8" x14ac:dyDescent="0.25">
      <c r="A371" s="343">
        <v>305</v>
      </c>
      <c r="B371" s="343">
        <v>133</v>
      </c>
      <c r="C371" s="342" t="s">
        <v>779</v>
      </c>
      <c r="D371" s="342" t="s">
        <v>780</v>
      </c>
      <c r="E371" s="342" t="s">
        <v>674</v>
      </c>
      <c r="F371" s="342" t="s">
        <v>1169</v>
      </c>
      <c r="G371" s="342" t="s">
        <v>695</v>
      </c>
      <c r="H371" s="342" t="s">
        <v>696</v>
      </c>
    </row>
    <row r="372" spans="1:8" x14ac:dyDescent="0.25">
      <c r="A372" s="343">
        <v>431</v>
      </c>
      <c r="B372" s="343">
        <v>64755</v>
      </c>
      <c r="C372" s="342" t="s">
        <v>767</v>
      </c>
      <c r="D372" s="342" t="s">
        <v>939</v>
      </c>
      <c r="E372" s="342" t="s">
        <v>583</v>
      </c>
      <c r="F372" s="342" t="s">
        <v>1170</v>
      </c>
      <c r="G372" s="342" t="s">
        <v>695</v>
      </c>
      <c r="H372" s="342" t="s">
        <v>696</v>
      </c>
    </row>
    <row r="373" spans="1:8" x14ac:dyDescent="0.25">
      <c r="A373" s="343">
        <v>510</v>
      </c>
      <c r="B373" s="343">
        <v>63927</v>
      </c>
      <c r="C373" s="342" t="s">
        <v>706</v>
      </c>
      <c r="D373" s="342" t="s">
        <v>1166</v>
      </c>
      <c r="E373" s="342" t="s">
        <v>544</v>
      </c>
      <c r="F373" s="342" t="s">
        <v>1171</v>
      </c>
      <c r="G373" s="342" t="s">
        <v>695</v>
      </c>
      <c r="H373" s="342" t="s">
        <v>705</v>
      </c>
    </row>
    <row r="374" spans="1:8" x14ac:dyDescent="0.25">
      <c r="A374" s="343">
        <v>573</v>
      </c>
      <c r="B374" s="343">
        <v>49065</v>
      </c>
      <c r="C374" s="342" t="s">
        <v>779</v>
      </c>
      <c r="D374" s="342" t="s">
        <v>780</v>
      </c>
      <c r="E374" s="342" t="s">
        <v>674</v>
      </c>
      <c r="F374" s="342" t="s">
        <v>1172</v>
      </c>
      <c r="G374" s="342" t="s">
        <v>695</v>
      </c>
      <c r="H374" s="342" t="s">
        <v>705</v>
      </c>
    </row>
    <row r="375" spans="1:8" x14ac:dyDescent="0.25">
      <c r="A375" s="343">
        <v>575</v>
      </c>
      <c r="B375" s="343">
        <v>315</v>
      </c>
      <c r="C375" s="342" t="s">
        <v>692</v>
      </c>
      <c r="D375" s="342" t="s">
        <v>901</v>
      </c>
      <c r="E375" s="342" t="s">
        <v>373</v>
      </c>
      <c r="F375" s="342" t="s">
        <v>1173</v>
      </c>
      <c r="G375" s="342" t="s">
        <v>695</v>
      </c>
      <c r="H375" s="342" t="s">
        <v>1174</v>
      </c>
    </row>
    <row r="376" spans="1:8" x14ac:dyDescent="0.25">
      <c r="A376" s="343">
        <v>577</v>
      </c>
      <c r="B376" s="343">
        <v>63789</v>
      </c>
      <c r="C376" s="342" t="s">
        <v>692</v>
      </c>
      <c r="D376" s="342" t="s">
        <v>901</v>
      </c>
      <c r="E376" s="342" t="s">
        <v>373</v>
      </c>
      <c r="F376" s="342" t="s">
        <v>1175</v>
      </c>
      <c r="G376" s="342" t="s">
        <v>695</v>
      </c>
      <c r="H376" s="342" t="s">
        <v>734</v>
      </c>
    </row>
    <row r="377" spans="1:8" x14ac:dyDescent="0.25">
      <c r="A377" s="343">
        <v>656</v>
      </c>
      <c r="B377" s="343">
        <v>67739</v>
      </c>
      <c r="C377" s="342" t="s">
        <v>697</v>
      </c>
      <c r="D377" s="342" t="s">
        <v>874</v>
      </c>
      <c r="E377" s="342" t="s">
        <v>552</v>
      </c>
      <c r="F377" s="342" t="s">
        <v>1176</v>
      </c>
      <c r="G377" s="342" t="s">
        <v>695</v>
      </c>
      <c r="H377" s="342" t="s">
        <v>726</v>
      </c>
    </row>
    <row r="378" spans="1:8" x14ac:dyDescent="0.25">
      <c r="A378" s="343">
        <v>1055</v>
      </c>
      <c r="B378" s="343">
        <v>68158</v>
      </c>
      <c r="C378" s="342" t="s">
        <v>706</v>
      </c>
      <c r="D378" s="342" t="s">
        <v>1166</v>
      </c>
      <c r="E378" s="342" t="s">
        <v>544</v>
      </c>
      <c r="F378" s="342" t="s">
        <v>1177</v>
      </c>
      <c r="G378" s="342" t="s">
        <v>1099</v>
      </c>
      <c r="H378" s="342" t="s">
        <v>1100</v>
      </c>
    </row>
    <row r="379" spans="1:8" x14ac:dyDescent="0.25">
      <c r="A379" s="343">
        <v>206</v>
      </c>
      <c r="B379" s="343">
        <v>254</v>
      </c>
      <c r="C379" s="342" t="s">
        <v>822</v>
      </c>
      <c r="D379" s="342" t="s">
        <v>1003</v>
      </c>
      <c r="E379" s="342" t="s">
        <v>573</v>
      </c>
      <c r="F379" s="342" t="s">
        <v>1178</v>
      </c>
      <c r="G379" s="342" t="s">
        <v>695</v>
      </c>
      <c r="H379" s="342" t="s">
        <v>696</v>
      </c>
    </row>
    <row r="380" spans="1:8" x14ac:dyDescent="0.25">
      <c r="A380" s="343">
        <v>259</v>
      </c>
      <c r="B380" s="343">
        <v>64289</v>
      </c>
      <c r="C380" s="342" t="s">
        <v>822</v>
      </c>
      <c r="D380" s="342" t="s">
        <v>823</v>
      </c>
      <c r="E380" s="342" t="s">
        <v>630</v>
      </c>
      <c r="F380" s="342" t="s">
        <v>1179</v>
      </c>
      <c r="G380" s="342" t="s">
        <v>695</v>
      </c>
      <c r="H380" s="342" t="s">
        <v>696</v>
      </c>
    </row>
    <row r="381" spans="1:8" x14ac:dyDescent="0.25">
      <c r="A381" s="343">
        <v>317</v>
      </c>
      <c r="B381" s="343">
        <v>52516</v>
      </c>
      <c r="C381" s="342" t="s">
        <v>692</v>
      </c>
      <c r="D381" s="342" t="s">
        <v>693</v>
      </c>
      <c r="E381" s="342" t="s">
        <v>643</v>
      </c>
      <c r="F381" s="342" t="s">
        <v>1180</v>
      </c>
      <c r="G381" s="342" t="s">
        <v>695</v>
      </c>
      <c r="H381" s="342" t="s">
        <v>696</v>
      </c>
    </row>
    <row r="382" spans="1:8" x14ac:dyDescent="0.25">
      <c r="A382" s="343">
        <v>589</v>
      </c>
      <c r="B382" s="343">
        <v>63892</v>
      </c>
      <c r="C382" s="342" t="s">
        <v>767</v>
      </c>
      <c r="D382" s="342" t="s">
        <v>860</v>
      </c>
      <c r="E382" s="342" t="s">
        <v>449</v>
      </c>
      <c r="F382" s="342" t="s">
        <v>1181</v>
      </c>
      <c r="G382" s="342" t="s">
        <v>695</v>
      </c>
      <c r="H382" s="342" t="s">
        <v>696</v>
      </c>
    </row>
    <row r="383" spans="1:8" x14ac:dyDescent="0.25">
      <c r="A383" s="343">
        <v>979</v>
      </c>
      <c r="B383" s="343">
        <v>67857</v>
      </c>
      <c r="C383" s="342" t="s">
        <v>692</v>
      </c>
      <c r="D383" s="342" t="s">
        <v>722</v>
      </c>
      <c r="E383" s="342" t="s">
        <v>627</v>
      </c>
      <c r="F383" s="342" t="s">
        <v>1182</v>
      </c>
      <c r="G383" s="342" t="s">
        <v>805</v>
      </c>
      <c r="H383" s="342" t="s">
        <v>1183</v>
      </c>
    </row>
    <row r="384" spans="1:8" x14ac:dyDescent="0.25">
      <c r="A384" s="343">
        <v>102</v>
      </c>
      <c r="B384" s="343">
        <v>63918</v>
      </c>
      <c r="C384" s="342" t="s">
        <v>767</v>
      </c>
      <c r="D384" s="342" t="s">
        <v>768</v>
      </c>
      <c r="E384" s="342" t="s">
        <v>465</v>
      </c>
      <c r="F384" s="342" t="s">
        <v>1184</v>
      </c>
      <c r="G384" s="342" t="s">
        <v>695</v>
      </c>
      <c r="H384" s="342" t="s">
        <v>696</v>
      </c>
    </row>
    <row r="385" spans="1:8" x14ac:dyDescent="0.25">
      <c r="A385" s="343">
        <v>117</v>
      </c>
      <c r="B385" s="343">
        <v>63945</v>
      </c>
      <c r="C385" s="342" t="s">
        <v>706</v>
      </c>
      <c r="D385" s="342" t="s">
        <v>907</v>
      </c>
      <c r="E385" s="342" t="s">
        <v>479</v>
      </c>
      <c r="F385" s="342" t="s">
        <v>1185</v>
      </c>
      <c r="G385" s="342" t="s">
        <v>695</v>
      </c>
      <c r="H385" s="342" t="s">
        <v>696</v>
      </c>
    </row>
    <row r="386" spans="1:8" x14ac:dyDescent="0.25">
      <c r="A386" s="343">
        <v>125</v>
      </c>
      <c r="B386" s="343">
        <v>209</v>
      </c>
      <c r="C386" s="342" t="s">
        <v>740</v>
      </c>
      <c r="D386" s="342" t="s">
        <v>963</v>
      </c>
      <c r="E386" s="342" t="s">
        <v>487</v>
      </c>
      <c r="F386" s="342" t="s">
        <v>1186</v>
      </c>
      <c r="G386" s="342" t="s">
        <v>695</v>
      </c>
      <c r="H386" s="342" t="s">
        <v>696</v>
      </c>
    </row>
    <row r="387" spans="1:8" x14ac:dyDescent="0.25">
      <c r="A387" s="343">
        <v>224</v>
      </c>
      <c r="B387" s="343">
        <v>48957</v>
      </c>
      <c r="C387" s="342" t="s">
        <v>740</v>
      </c>
      <c r="D387" s="342" t="s">
        <v>920</v>
      </c>
      <c r="E387" s="342" t="s">
        <v>592</v>
      </c>
      <c r="F387" s="342" t="s">
        <v>1187</v>
      </c>
      <c r="G387" s="342" t="s">
        <v>695</v>
      </c>
      <c r="H387" s="342" t="s">
        <v>696</v>
      </c>
    </row>
    <row r="388" spans="1:8" x14ac:dyDescent="0.25">
      <c r="A388" s="343">
        <v>287</v>
      </c>
      <c r="B388" s="343">
        <v>64205</v>
      </c>
      <c r="C388" s="342" t="s">
        <v>706</v>
      </c>
      <c r="D388" s="342" t="s">
        <v>907</v>
      </c>
      <c r="E388" s="342" t="s">
        <v>657</v>
      </c>
      <c r="F388" s="342" t="s">
        <v>1188</v>
      </c>
      <c r="G388" s="342" t="s">
        <v>695</v>
      </c>
      <c r="H388" s="342" t="s">
        <v>696</v>
      </c>
    </row>
    <row r="389" spans="1:8" x14ac:dyDescent="0.25">
      <c r="A389" s="343">
        <v>288</v>
      </c>
      <c r="B389" s="343">
        <v>48904</v>
      </c>
      <c r="C389" s="342" t="s">
        <v>692</v>
      </c>
      <c r="D389" s="342" t="s">
        <v>865</v>
      </c>
      <c r="E389" s="342" t="s">
        <v>658</v>
      </c>
      <c r="F389" s="342" t="s">
        <v>1189</v>
      </c>
      <c r="G389" s="342" t="s">
        <v>695</v>
      </c>
      <c r="H389" s="342" t="s">
        <v>696</v>
      </c>
    </row>
    <row r="390" spans="1:8" x14ac:dyDescent="0.25">
      <c r="A390" s="343">
        <v>364</v>
      </c>
      <c r="B390" s="343">
        <v>63846</v>
      </c>
      <c r="C390" s="342" t="s">
        <v>740</v>
      </c>
      <c r="D390" s="342" t="s">
        <v>963</v>
      </c>
      <c r="E390" s="342" t="s">
        <v>398</v>
      </c>
      <c r="F390" s="342" t="s">
        <v>1190</v>
      </c>
      <c r="G390" s="342" t="s">
        <v>695</v>
      </c>
      <c r="H390" s="342" t="s">
        <v>696</v>
      </c>
    </row>
    <row r="391" spans="1:8" x14ac:dyDescent="0.25">
      <c r="A391" s="343">
        <v>412</v>
      </c>
      <c r="B391" s="343">
        <v>64278</v>
      </c>
      <c r="C391" s="342" t="s">
        <v>692</v>
      </c>
      <c r="D391" s="342" t="s">
        <v>693</v>
      </c>
      <c r="E391" s="342" t="s">
        <v>643</v>
      </c>
      <c r="F391" s="342" t="s">
        <v>1191</v>
      </c>
      <c r="G391" s="342" t="s">
        <v>695</v>
      </c>
      <c r="H391" s="342" t="s">
        <v>973</v>
      </c>
    </row>
    <row r="392" spans="1:8" x14ac:dyDescent="0.25">
      <c r="A392" s="343">
        <v>588</v>
      </c>
      <c r="B392" s="343">
        <v>64288</v>
      </c>
      <c r="C392" s="342" t="s">
        <v>692</v>
      </c>
      <c r="D392" s="342" t="s">
        <v>722</v>
      </c>
      <c r="E392" s="342" t="s">
        <v>627</v>
      </c>
      <c r="F392" s="342" t="s">
        <v>1192</v>
      </c>
      <c r="G392" s="342" t="s">
        <v>695</v>
      </c>
      <c r="H392" s="342" t="s">
        <v>696</v>
      </c>
    </row>
    <row r="393" spans="1:8" x14ac:dyDescent="0.25">
      <c r="A393" s="343">
        <v>792</v>
      </c>
      <c r="B393" s="343">
        <v>44677</v>
      </c>
      <c r="C393" s="342" t="s">
        <v>740</v>
      </c>
      <c r="D393" s="342" t="s">
        <v>765</v>
      </c>
      <c r="E393" s="342" t="s">
        <v>422</v>
      </c>
      <c r="F393" s="342" t="s">
        <v>1193</v>
      </c>
      <c r="G393" s="342" t="s">
        <v>695</v>
      </c>
      <c r="H393" s="342" t="s">
        <v>696</v>
      </c>
    </row>
    <row r="394" spans="1:8" x14ac:dyDescent="0.25">
      <c r="A394" s="343">
        <v>1058</v>
      </c>
      <c r="B394" s="343">
        <v>68193</v>
      </c>
      <c r="C394" s="342" t="s">
        <v>706</v>
      </c>
      <c r="D394" s="342" t="s">
        <v>847</v>
      </c>
      <c r="E394" s="342" t="s">
        <v>382</v>
      </c>
      <c r="F394" s="342" t="s">
        <v>1194</v>
      </c>
      <c r="G394" s="342" t="s">
        <v>805</v>
      </c>
      <c r="H394" s="342" t="s">
        <v>806</v>
      </c>
    </row>
    <row r="395" spans="1:8" x14ac:dyDescent="0.25">
      <c r="A395" s="343">
        <v>413</v>
      </c>
      <c r="B395" s="343">
        <v>64277</v>
      </c>
      <c r="C395" s="342" t="s">
        <v>692</v>
      </c>
      <c r="D395" s="342" t="s">
        <v>693</v>
      </c>
      <c r="E395" s="342" t="s">
        <v>643</v>
      </c>
      <c r="F395" s="342" t="s">
        <v>1195</v>
      </c>
      <c r="G395" s="342" t="s">
        <v>695</v>
      </c>
      <c r="H395" s="342" t="s">
        <v>973</v>
      </c>
    </row>
    <row r="396" spans="1:8" x14ac:dyDescent="0.25">
      <c r="A396" s="343">
        <v>210</v>
      </c>
      <c r="B396" s="343">
        <v>64261</v>
      </c>
      <c r="C396" s="342" t="s">
        <v>701</v>
      </c>
      <c r="D396" s="342" t="s">
        <v>724</v>
      </c>
      <c r="E396" s="342" t="s">
        <v>577</v>
      </c>
      <c r="F396" s="342" t="s">
        <v>1196</v>
      </c>
      <c r="G396" s="342" t="s">
        <v>695</v>
      </c>
      <c r="H396" s="342" t="s">
        <v>696</v>
      </c>
    </row>
    <row r="397" spans="1:8" x14ac:dyDescent="0.25">
      <c r="A397" s="343">
        <v>490</v>
      </c>
      <c r="B397" s="343">
        <v>64276</v>
      </c>
      <c r="C397" s="342" t="s">
        <v>692</v>
      </c>
      <c r="D397" s="342" t="s">
        <v>693</v>
      </c>
      <c r="E397" s="342" t="s">
        <v>643</v>
      </c>
      <c r="F397" s="342" t="s">
        <v>1197</v>
      </c>
      <c r="G397" s="342" t="s">
        <v>695</v>
      </c>
      <c r="H397" s="342" t="s">
        <v>973</v>
      </c>
    </row>
    <row r="398" spans="1:8" x14ac:dyDescent="0.25">
      <c r="A398" s="343">
        <v>502</v>
      </c>
      <c r="B398" s="343">
        <v>64285</v>
      </c>
      <c r="C398" s="342" t="s">
        <v>692</v>
      </c>
      <c r="D398" s="342" t="s">
        <v>693</v>
      </c>
      <c r="E398" s="342" t="s">
        <v>643</v>
      </c>
      <c r="F398" s="342" t="s">
        <v>1198</v>
      </c>
      <c r="G398" s="342" t="s">
        <v>695</v>
      </c>
      <c r="H398" s="342" t="s">
        <v>973</v>
      </c>
    </row>
    <row r="399" spans="1:8" x14ac:dyDescent="0.25">
      <c r="A399" s="343">
        <v>38</v>
      </c>
      <c r="B399" s="343">
        <v>48679</v>
      </c>
      <c r="C399" s="342" t="s">
        <v>779</v>
      </c>
      <c r="D399" s="342" t="s">
        <v>780</v>
      </c>
      <c r="E399" s="342" t="s">
        <v>399</v>
      </c>
      <c r="F399" s="342" t="s">
        <v>1199</v>
      </c>
      <c r="G399" s="342" t="s">
        <v>695</v>
      </c>
      <c r="H399" s="342" t="s">
        <v>696</v>
      </c>
    </row>
    <row r="400" spans="1:8" x14ac:dyDescent="0.25">
      <c r="A400" s="343">
        <v>354</v>
      </c>
      <c r="B400" s="343">
        <v>64202</v>
      </c>
      <c r="C400" s="342" t="s">
        <v>789</v>
      </c>
      <c r="D400" s="342" t="s">
        <v>818</v>
      </c>
      <c r="E400" s="342" t="s">
        <v>664</v>
      </c>
      <c r="F400" s="342" t="s">
        <v>1200</v>
      </c>
      <c r="G400" s="342" t="s">
        <v>695</v>
      </c>
      <c r="H400" s="342" t="s">
        <v>1051</v>
      </c>
    </row>
    <row r="401" spans="1:8" x14ac:dyDescent="0.25">
      <c r="A401" s="343">
        <v>407</v>
      </c>
      <c r="B401" s="343">
        <v>64203</v>
      </c>
      <c r="C401" s="342" t="s">
        <v>789</v>
      </c>
      <c r="D401" s="342" t="s">
        <v>818</v>
      </c>
      <c r="E401" s="342" t="s">
        <v>664</v>
      </c>
      <c r="F401" s="342" t="s">
        <v>1201</v>
      </c>
      <c r="G401" s="342" t="s">
        <v>695</v>
      </c>
      <c r="H401" s="342" t="s">
        <v>1202</v>
      </c>
    </row>
    <row r="402" spans="1:8" x14ac:dyDescent="0.25">
      <c r="A402" s="343">
        <v>325</v>
      </c>
      <c r="B402" s="343">
        <v>64725</v>
      </c>
      <c r="C402" s="342" t="s">
        <v>692</v>
      </c>
      <c r="D402" s="342" t="s">
        <v>693</v>
      </c>
      <c r="E402" s="342" t="s">
        <v>643</v>
      </c>
      <c r="F402" s="342" t="s">
        <v>1203</v>
      </c>
      <c r="G402" s="342" t="s">
        <v>695</v>
      </c>
      <c r="H402" s="342" t="s">
        <v>696</v>
      </c>
    </row>
    <row r="403" spans="1:8" x14ac:dyDescent="0.25">
      <c r="A403" s="343">
        <v>12</v>
      </c>
      <c r="B403" s="343">
        <v>314</v>
      </c>
      <c r="C403" s="342" t="s">
        <v>779</v>
      </c>
      <c r="D403" s="342" t="s">
        <v>780</v>
      </c>
      <c r="E403" s="342" t="s">
        <v>368</v>
      </c>
      <c r="F403" s="342" t="s">
        <v>1204</v>
      </c>
      <c r="G403" s="342" t="s">
        <v>695</v>
      </c>
      <c r="H403" s="342" t="s">
        <v>696</v>
      </c>
    </row>
    <row r="404" spans="1:8" x14ac:dyDescent="0.25">
      <c r="A404" s="343">
        <v>294</v>
      </c>
      <c r="B404" s="343">
        <v>229</v>
      </c>
      <c r="C404" s="342" t="s">
        <v>789</v>
      </c>
      <c r="D404" s="342" t="s">
        <v>818</v>
      </c>
      <c r="E404" s="342" t="s">
        <v>664</v>
      </c>
      <c r="F404" s="342" t="s">
        <v>1205</v>
      </c>
      <c r="G404" s="342" t="s">
        <v>695</v>
      </c>
      <c r="H404" s="342" t="s">
        <v>696</v>
      </c>
    </row>
    <row r="405" spans="1:8" x14ac:dyDescent="0.25">
      <c r="A405" s="343">
        <v>411</v>
      </c>
      <c r="B405" s="343">
        <v>63779</v>
      </c>
      <c r="C405" s="342" t="s">
        <v>779</v>
      </c>
      <c r="D405" s="342" t="s">
        <v>780</v>
      </c>
      <c r="E405" s="342" t="s">
        <v>368</v>
      </c>
      <c r="F405" s="342" t="s">
        <v>1206</v>
      </c>
      <c r="G405" s="342" t="s">
        <v>695</v>
      </c>
      <c r="H405" s="342" t="s">
        <v>1051</v>
      </c>
    </row>
    <row r="406" spans="1:8" x14ac:dyDescent="0.25">
      <c r="A406" s="343">
        <v>615</v>
      </c>
      <c r="B406" s="343">
        <v>62898</v>
      </c>
      <c r="C406" s="342" t="s">
        <v>692</v>
      </c>
      <c r="D406" s="342" t="s">
        <v>693</v>
      </c>
      <c r="E406" s="342" t="s">
        <v>643</v>
      </c>
      <c r="F406" s="342" t="s">
        <v>1207</v>
      </c>
      <c r="G406" s="342" t="s">
        <v>695</v>
      </c>
      <c r="H406" s="342" t="s">
        <v>700</v>
      </c>
    </row>
    <row r="407" spans="1:8" x14ac:dyDescent="0.25">
      <c r="A407" s="343">
        <v>530</v>
      </c>
      <c r="B407" s="343">
        <v>64283</v>
      </c>
      <c r="C407" s="342" t="s">
        <v>767</v>
      </c>
      <c r="D407" s="342" t="s">
        <v>895</v>
      </c>
      <c r="E407" s="342" t="s">
        <v>609</v>
      </c>
      <c r="F407" s="342" t="s">
        <v>1208</v>
      </c>
      <c r="G407" s="342" t="s">
        <v>1099</v>
      </c>
      <c r="H407" s="342" t="s">
        <v>1100</v>
      </c>
    </row>
    <row r="408" spans="1:8" x14ac:dyDescent="0.25">
      <c r="A408" s="343">
        <v>561</v>
      </c>
      <c r="B408" s="343">
        <v>64297</v>
      </c>
      <c r="C408" s="342" t="s">
        <v>767</v>
      </c>
      <c r="D408" s="342" t="s">
        <v>895</v>
      </c>
      <c r="E408" s="342" t="s">
        <v>609</v>
      </c>
      <c r="F408" s="342" t="s">
        <v>1209</v>
      </c>
      <c r="G408" s="342" t="s">
        <v>695</v>
      </c>
      <c r="H408" s="342" t="s">
        <v>700</v>
      </c>
    </row>
    <row r="409" spans="1:8" x14ac:dyDescent="0.25">
      <c r="A409" s="343">
        <v>28</v>
      </c>
      <c r="B409" s="343">
        <v>48678</v>
      </c>
      <c r="C409" s="342" t="s">
        <v>706</v>
      </c>
      <c r="D409" s="342" t="s">
        <v>847</v>
      </c>
      <c r="E409" s="342" t="s">
        <v>387</v>
      </c>
      <c r="F409" s="342" t="s">
        <v>1210</v>
      </c>
      <c r="G409" s="342" t="s">
        <v>695</v>
      </c>
      <c r="H409" s="342" t="s">
        <v>696</v>
      </c>
    </row>
    <row r="410" spans="1:8" x14ac:dyDescent="0.25">
      <c r="A410" s="343">
        <v>335</v>
      </c>
      <c r="B410" s="343">
        <v>184</v>
      </c>
      <c r="C410" s="342" t="s">
        <v>706</v>
      </c>
      <c r="D410" s="342" t="s">
        <v>1166</v>
      </c>
      <c r="E410" s="342" t="s">
        <v>682</v>
      </c>
      <c r="F410" s="342" t="s">
        <v>1211</v>
      </c>
      <c r="G410" s="342" t="s">
        <v>695</v>
      </c>
      <c r="H410" s="342" t="s">
        <v>734</v>
      </c>
    </row>
    <row r="411" spans="1:8" x14ac:dyDescent="0.25">
      <c r="A411" s="343">
        <v>631</v>
      </c>
      <c r="B411" s="343">
        <v>63775</v>
      </c>
      <c r="C411" s="342" t="s">
        <v>701</v>
      </c>
      <c r="D411" s="342" t="s">
        <v>763</v>
      </c>
      <c r="E411" s="342" t="s">
        <v>358</v>
      </c>
      <c r="F411" s="342" t="s">
        <v>1212</v>
      </c>
      <c r="G411" s="342" t="s">
        <v>805</v>
      </c>
      <c r="H411" s="342" t="s">
        <v>806</v>
      </c>
    </row>
    <row r="412" spans="1:8" x14ac:dyDescent="0.25">
      <c r="A412" s="343">
        <v>553</v>
      </c>
      <c r="B412" s="343">
        <v>55561</v>
      </c>
      <c r="C412" s="342" t="s">
        <v>706</v>
      </c>
      <c r="D412" s="342" t="s">
        <v>720</v>
      </c>
      <c r="E412" s="342" t="s">
        <v>538</v>
      </c>
      <c r="F412" s="342" t="s">
        <v>1213</v>
      </c>
      <c r="G412" s="342" t="s">
        <v>695</v>
      </c>
      <c r="H412" s="342" t="s">
        <v>705</v>
      </c>
    </row>
    <row r="413" spans="1:8" x14ac:dyDescent="0.25">
      <c r="A413" s="343">
        <v>1057</v>
      </c>
      <c r="B413" s="343">
        <v>68188</v>
      </c>
      <c r="C413" s="342" t="s">
        <v>767</v>
      </c>
      <c r="D413" s="342" t="s">
        <v>770</v>
      </c>
      <c r="E413" s="342" t="s">
        <v>634</v>
      </c>
      <c r="F413" s="342" t="s">
        <v>1214</v>
      </c>
      <c r="G413" s="342" t="s">
        <v>1099</v>
      </c>
      <c r="H413" s="342" t="s">
        <v>1100</v>
      </c>
    </row>
    <row r="414" spans="1:8" x14ac:dyDescent="0.25">
      <c r="A414" s="343">
        <v>174</v>
      </c>
      <c r="B414" s="343">
        <v>48946</v>
      </c>
      <c r="C414" s="342" t="s">
        <v>706</v>
      </c>
      <c r="D414" s="342" t="s">
        <v>720</v>
      </c>
      <c r="E414" s="342" t="s">
        <v>538</v>
      </c>
      <c r="F414" s="342" t="s">
        <v>1215</v>
      </c>
      <c r="G414" s="342" t="s">
        <v>695</v>
      </c>
      <c r="H414" s="342" t="s">
        <v>696</v>
      </c>
    </row>
    <row r="415" spans="1:8" x14ac:dyDescent="0.25">
      <c r="A415" s="343">
        <v>312</v>
      </c>
      <c r="B415" s="343">
        <v>48571</v>
      </c>
      <c r="C415" s="342" t="s">
        <v>706</v>
      </c>
      <c r="D415" s="342" t="s">
        <v>1166</v>
      </c>
      <c r="E415" s="342" t="s">
        <v>682</v>
      </c>
      <c r="F415" s="342" t="s">
        <v>1216</v>
      </c>
      <c r="G415" s="342" t="s">
        <v>695</v>
      </c>
      <c r="H415" s="342" t="s">
        <v>696</v>
      </c>
    </row>
    <row r="416" spans="1:8" x14ac:dyDescent="0.25">
      <c r="A416" s="343">
        <v>303</v>
      </c>
      <c r="B416" s="343">
        <v>55622</v>
      </c>
      <c r="C416" s="342" t="s">
        <v>706</v>
      </c>
      <c r="D416" s="342" t="s">
        <v>907</v>
      </c>
      <c r="E416" s="342" t="s">
        <v>672</v>
      </c>
      <c r="F416" s="342" t="s">
        <v>1217</v>
      </c>
      <c r="G416" s="342" t="s">
        <v>695</v>
      </c>
      <c r="H416" s="342" t="s">
        <v>696</v>
      </c>
    </row>
    <row r="417" spans="1:8" x14ac:dyDescent="0.25">
      <c r="A417" s="343">
        <v>321</v>
      </c>
      <c r="B417" s="343">
        <v>177</v>
      </c>
      <c r="C417" s="342" t="s">
        <v>692</v>
      </c>
      <c r="D417" s="342" t="s">
        <v>693</v>
      </c>
      <c r="E417" s="342" t="s">
        <v>643</v>
      </c>
      <c r="F417" s="342" t="s">
        <v>1218</v>
      </c>
      <c r="G417" s="342" t="s">
        <v>695</v>
      </c>
      <c r="H417" s="342" t="s">
        <v>696</v>
      </c>
    </row>
    <row r="418" spans="1:8" x14ac:dyDescent="0.25">
      <c r="A418" s="343">
        <v>869</v>
      </c>
      <c r="B418" s="343">
        <v>12290</v>
      </c>
      <c r="C418" s="342" t="s">
        <v>779</v>
      </c>
      <c r="D418" s="342" t="s">
        <v>1024</v>
      </c>
      <c r="E418" s="342" t="s">
        <v>404</v>
      </c>
      <c r="F418" s="342" t="s">
        <v>1219</v>
      </c>
      <c r="G418" s="342" t="s">
        <v>805</v>
      </c>
      <c r="H418" s="342" t="s">
        <v>813</v>
      </c>
    </row>
    <row r="419" spans="1:8" x14ac:dyDescent="0.25">
      <c r="A419" s="343">
        <v>185</v>
      </c>
      <c r="B419" s="343">
        <v>158</v>
      </c>
      <c r="C419" s="342" t="s">
        <v>767</v>
      </c>
      <c r="D419" s="342" t="s">
        <v>1220</v>
      </c>
      <c r="E419" s="342" t="s">
        <v>550</v>
      </c>
      <c r="F419" s="342" t="s">
        <v>1221</v>
      </c>
      <c r="G419" s="342" t="s">
        <v>695</v>
      </c>
      <c r="H419" s="342" t="s">
        <v>696</v>
      </c>
    </row>
    <row r="420" spans="1:8" x14ac:dyDescent="0.25">
      <c r="A420" s="343">
        <v>21</v>
      </c>
      <c r="B420" s="343">
        <v>62</v>
      </c>
      <c r="C420" s="342" t="s">
        <v>832</v>
      </c>
      <c r="D420" s="342" t="s">
        <v>897</v>
      </c>
      <c r="E420" s="342" t="s">
        <v>379</v>
      </c>
      <c r="F420" s="342" t="s">
        <v>1222</v>
      </c>
      <c r="G420" s="342" t="s">
        <v>695</v>
      </c>
      <c r="H420" s="342" t="s">
        <v>696</v>
      </c>
    </row>
    <row r="421" spans="1:8" x14ac:dyDescent="0.25">
      <c r="A421" s="343">
        <v>613</v>
      </c>
      <c r="B421" s="343">
        <v>63809</v>
      </c>
      <c r="C421" s="342" t="s">
        <v>832</v>
      </c>
      <c r="D421" s="342" t="s">
        <v>897</v>
      </c>
      <c r="E421" s="342" t="s">
        <v>379</v>
      </c>
      <c r="F421" s="342" t="s">
        <v>1223</v>
      </c>
      <c r="G421" s="342" t="s">
        <v>695</v>
      </c>
      <c r="H421" s="342" t="s">
        <v>705</v>
      </c>
    </row>
    <row r="422" spans="1:8" x14ac:dyDescent="0.25">
      <c r="A422" s="343">
        <v>685</v>
      </c>
      <c r="B422" s="343">
        <v>64159</v>
      </c>
      <c r="C422" s="342" t="s">
        <v>701</v>
      </c>
      <c r="D422" s="342" t="s">
        <v>744</v>
      </c>
      <c r="E422" s="342" t="s">
        <v>426</v>
      </c>
      <c r="F422" s="342" t="s">
        <v>1224</v>
      </c>
      <c r="G422" s="342" t="s">
        <v>805</v>
      </c>
      <c r="H422" s="342" t="s">
        <v>1225</v>
      </c>
    </row>
    <row r="423" spans="1:8" x14ac:dyDescent="0.25">
      <c r="A423" s="343">
        <v>187</v>
      </c>
      <c r="B423" s="343">
        <v>45207</v>
      </c>
      <c r="C423" s="342" t="s">
        <v>697</v>
      </c>
      <c r="D423" s="342" t="s">
        <v>874</v>
      </c>
      <c r="E423" s="342" t="s">
        <v>552</v>
      </c>
      <c r="F423" s="342" t="s">
        <v>1226</v>
      </c>
      <c r="G423" s="342" t="s">
        <v>695</v>
      </c>
      <c r="H423" s="342" t="s">
        <v>696</v>
      </c>
    </row>
    <row r="424" spans="1:8" x14ac:dyDescent="0.25">
      <c r="A424" s="343">
        <v>509</v>
      </c>
      <c r="B424" s="343">
        <v>64265</v>
      </c>
      <c r="C424" s="342" t="s">
        <v>822</v>
      </c>
      <c r="D424" s="342" t="s">
        <v>823</v>
      </c>
      <c r="E424" s="342" t="s">
        <v>649</v>
      </c>
      <c r="F424" s="342" t="s">
        <v>1227</v>
      </c>
      <c r="G424" s="342" t="s">
        <v>695</v>
      </c>
      <c r="H424" s="342" t="s">
        <v>856</v>
      </c>
    </row>
    <row r="425" spans="1:8" x14ac:dyDescent="0.25">
      <c r="A425" s="343">
        <v>51</v>
      </c>
      <c r="B425" s="343">
        <v>124</v>
      </c>
      <c r="C425" s="342" t="s">
        <v>822</v>
      </c>
      <c r="D425" s="342" t="s">
        <v>889</v>
      </c>
      <c r="E425" s="342" t="s">
        <v>411</v>
      </c>
      <c r="F425" s="342" t="s">
        <v>1228</v>
      </c>
      <c r="G425" s="342" t="s">
        <v>695</v>
      </c>
      <c r="H425" s="342" t="s">
        <v>696</v>
      </c>
    </row>
    <row r="426" spans="1:8" x14ac:dyDescent="0.25">
      <c r="A426" s="343">
        <v>81</v>
      </c>
      <c r="B426" s="343">
        <v>63887</v>
      </c>
      <c r="C426" s="342" t="s">
        <v>706</v>
      </c>
      <c r="D426" s="342" t="s">
        <v>707</v>
      </c>
      <c r="E426" s="342" t="s">
        <v>1229</v>
      </c>
      <c r="F426" s="342" t="s">
        <v>1230</v>
      </c>
      <c r="G426" s="342" t="s">
        <v>695</v>
      </c>
      <c r="H426" s="342" t="s">
        <v>696</v>
      </c>
    </row>
    <row r="427" spans="1:8" x14ac:dyDescent="0.25">
      <c r="A427" s="343">
        <v>145</v>
      </c>
      <c r="B427" s="343">
        <v>48656</v>
      </c>
      <c r="C427" s="342" t="s">
        <v>822</v>
      </c>
      <c r="D427" s="342" t="s">
        <v>889</v>
      </c>
      <c r="E427" s="342" t="s">
        <v>509</v>
      </c>
      <c r="F427" s="342" t="s">
        <v>1231</v>
      </c>
      <c r="G427" s="342" t="s">
        <v>695</v>
      </c>
      <c r="H427" s="342" t="s">
        <v>696</v>
      </c>
    </row>
    <row r="428" spans="1:8" x14ac:dyDescent="0.25">
      <c r="A428" s="343">
        <v>215</v>
      </c>
      <c r="B428" s="343">
        <v>48955</v>
      </c>
      <c r="C428" s="342" t="s">
        <v>832</v>
      </c>
      <c r="D428" s="342" t="s">
        <v>837</v>
      </c>
      <c r="E428" s="342" t="s">
        <v>582</v>
      </c>
      <c r="F428" s="342" t="s">
        <v>1232</v>
      </c>
      <c r="G428" s="342" t="s">
        <v>695</v>
      </c>
      <c r="H428" s="342" t="s">
        <v>696</v>
      </c>
    </row>
    <row r="429" spans="1:8" x14ac:dyDescent="0.25">
      <c r="A429" s="343">
        <v>252</v>
      </c>
      <c r="B429" s="343">
        <v>48925</v>
      </c>
      <c r="C429" s="342" t="s">
        <v>779</v>
      </c>
      <c r="D429" s="342" t="s">
        <v>956</v>
      </c>
      <c r="E429" s="342" t="s">
        <v>623</v>
      </c>
      <c r="F429" s="342" t="s">
        <v>1233</v>
      </c>
      <c r="G429" s="342" t="s">
        <v>695</v>
      </c>
      <c r="H429" s="342" t="s">
        <v>696</v>
      </c>
    </row>
    <row r="430" spans="1:8" x14ac:dyDescent="0.25">
      <c r="A430" s="343">
        <v>587</v>
      </c>
      <c r="B430" s="343">
        <v>63777</v>
      </c>
      <c r="C430" s="342" t="s">
        <v>779</v>
      </c>
      <c r="D430" s="342" t="s">
        <v>858</v>
      </c>
      <c r="E430" s="342" t="s">
        <v>362</v>
      </c>
      <c r="F430" s="342" t="s">
        <v>1234</v>
      </c>
      <c r="G430" s="342" t="s">
        <v>695</v>
      </c>
      <c r="H430" s="342" t="s">
        <v>787</v>
      </c>
    </row>
    <row r="431" spans="1:8" x14ac:dyDescent="0.25">
      <c r="A431" s="343">
        <v>100</v>
      </c>
      <c r="B431" s="343">
        <v>242</v>
      </c>
      <c r="C431" s="342" t="s">
        <v>692</v>
      </c>
      <c r="D431" s="342" t="s">
        <v>901</v>
      </c>
      <c r="E431" s="342" t="s">
        <v>463</v>
      </c>
      <c r="F431" s="342" t="s">
        <v>1235</v>
      </c>
      <c r="G431" s="342" t="s">
        <v>695</v>
      </c>
      <c r="H431" s="342" t="s">
        <v>696</v>
      </c>
    </row>
    <row r="432" spans="1:8" x14ac:dyDescent="0.25">
      <c r="A432" s="343">
        <v>801</v>
      </c>
      <c r="B432" s="343">
        <v>53946</v>
      </c>
      <c r="C432" s="342" t="s">
        <v>779</v>
      </c>
      <c r="D432" s="342" t="s">
        <v>780</v>
      </c>
      <c r="E432" s="342" t="s">
        <v>391</v>
      </c>
      <c r="F432" s="342" t="s">
        <v>1236</v>
      </c>
      <c r="G432" s="342" t="s">
        <v>695</v>
      </c>
      <c r="H432" s="342" t="s">
        <v>1237</v>
      </c>
    </row>
    <row r="433" spans="1:8" x14ac:dyDescent="0.25">
      <c r="A433" s="343">
        <v>65</v>
      </c>
      <c r="B433" s="343">
        <v>63869</v>
      </c>
      <c r="C433" s="342" t="s">
        <v>701</v>
      </c>
      <c r="D433" s="342" t="s">
        <v>835</v>
      </c>
      <c r="E433" s="342" t="s">
        <v>428</v>
      </c>
      <c r="F433" s="342" t="s">
        <v>1238</v>
      </c>
      <c r="G433" s="342" t="s">
        <v>695</v>
      </c>
      <c r="H433" s="342" t="s">
        <v>696</v>
      </c>
    </row>
    <row r="434" spans="1:8" x14ac:dyDescent="0.25">
      <c r="A434" s="343">
        <v>269</v>
      </c>
      <c r="B434" s="343">
        <v>48921</v>
      </c>
      <c r="C434" s="342" t="s">
        <v>706</v>
      </c>
      <c r="D434" s="342" t="s">
        <v>720</v>
      </c>
      <c r="E434" s="342" t="s">
        <v>638</v>
      </c>
      <c r="F434" s="342" t="s">
        <v>1239</v>
      </c>
      <c r="G434" s="342" t="s">
        <v>695</v>
      </c>
      <c r="H434" s="342" t="s">
        <v>696</v>
      </c>
    </row>
    <row r="435" spans="1:8" x14ac:dyDescent="0.25">
      <c r="A435" s="343">
        <v>580</v>
      </c>
      <c r="B435" s="343">
        <v>64251</v>
      </c>
      <c r="C435" s="342" t="s">
        <v>706</v>
      </c>
      <c r="D435" s="342" t="s">
        <v>720</v>
      </c>
      <c r="E435" s="342" t="s">
        <v>638</v>
      </c>
      <c r="F435" s="342" t="s">
        <v>1240</v>
      </c>
      <c r="G435" s="342" t="s">
        <v>695</v>
      </c>
      <c r="H435" s="342" t="s">
        <v>696</v>
      </c>
    </row>
    <row r="436" spans="1:8" x14ac:dyDescent="0.25">
      <c r="A436" s="343">
        <v>859</v>
      </c>
      <c r="B436" s="343">
        <v>66188</v>
      </c>
      <c r="C436" s="342" t="s">
        <v>706</v>
      </c>
      <c r="D436" s="342" t="s">
        <v>847</v>
      </c>
      <c r="E436" s="342" t="s">
        <v>382</v>
      </c>
      <c r="F436" s="342" t="s">
        <v>1241</v>
      </c>
      <c r="G436" s="342" t="s">
        <v>805</v>
      </c>
      <c r="H436" s="342" t="s">
        <v>806</v>
      </c>
    </row>
    <row r="437" spans="1:8" x14ac:dyDescent="0.25">
      <c r="A437" s="343">
        <v>1054</v>
      </c>
      <c r="B437" s="343">
        <v>53898</v>
      </c>
      <c r="C437" s="342" t="s">
        <v>692</v>
      </c>
      <c r="D437" s="342" t="s">
        <v>693</v>
      </c>
      <c r="E437" s="342" t="s">
        <v>643</v>
      </c>
      <c r="F437" s="342" t="s">
        <v>1242</v>
      </c>
      <c r="G437" s="342" t="s">
        <v>997</v>
      </c>
      <c r="H437" s="342" t="s">
        <v>997</v>
      </c>
    </row>
    <row r="438" spans="1:8" x14ac:dyDescent="0.25">
      <c r="A438" s="343">
        <v>468</v>
      </c>
      <c r="B438" s="343">
        <v>64262</v>
      </c>
      <c r="C438" s="342" t="s">
        <v>822</v>
      </c>
      <c r="D438" s="342" t="s">
        <v>823</v>
      </c>
      <c r="E438" s="342" t="s">
        <v>649</v>
      </c>
      <c r="F438" s="342" t="s">
        <v>1243</v>
      </c>
      <c r="G438" s="342" t="s">
        <v>737</v>
      </c>
      <c r="H438" s="342" t="s">
        <v>738</v>
      </c>
    </row>
    <row r="439" spans="1:8" x14ac:dyDescent="0.25">
      <c r="A439" s="343">
        <v>730</v>
      </c>
      <c r="B439" s="343">
        <v>64217</v>
      </c>
      <c r="C439" s="342" t="s">
        <v>701</v>
      </c>
      <c r="D439" s="342" t="s">
        <v>711</v>
      </c>
      <c r="E439" s="342" t="s">
        <v>666</v>
      </c>
      <c r="F439" s="342" t="s">
        <v>1244</v>
      </c>
      <c r="G439" s="342" t="s">
        <v>1099</v>
      </c>
      <c r="H439" s="342" t="s">
        <v>1100</v>
      </c>
    </row>
    <row r="440" spans="1:8" x14ac:dyDescent="0.25">
      <c r="A440" s="343">
        <v>986</v>
      </c>
      <c r="B440" s="343">
        <v>67860</v>
      </c>
      <c r="C440" s="342" t="s">
        <v>692</v>
      </c>
      <c r="D440" s="342" t="s">
        <v>693</v>
      </c>
      <c r="E440" s="342" t="s">
        <v>643</v>
      </c>
      <c r="F440" s="342" t="s">
        <v>1245</v>
      </c>
      <c r="G440" s="342" t="s">
        <v>805</v>
      </c>
      <c r="H440" s="342" t="s">
        <v>1183</v>
      </c>
    </row>
    <row r="441" spans="1:8" x14ac:dyDescent="0.25">
      <c r="A441" s="343">
        <v>1048</v>
      </c>
      <c r="B441" s="343">
        <v>359</v>
      </c>
      <c r="C441" s="342" t="s">
        <v>692</v>
      </c>
      <c r="D441" s="342" t="s">
        <v>693</v>
      </c>
      <c r="E441" s="342" t="s">
        <v>643</v>
      </c>
      <c r="F441" s="342" t="s">
        <v>1246</v>
      </c>
      <c r="G441" s="342" t="s">
        <v>997</v>
      </c>
      <c r="H441" s="342" t="s">
        <v>997</v>
      </c>
    </row>
    <row r="442" spans="1:8" x14ac:dyDescent="0.25">
      <c r="A442" s="343">
        <v>1049</v>
      </c>
      <c r="B442" s="343">
        <v>361</v>
      </c>
      <c r="C442" s="342" t="s">
        <v>692</v>
      </c>
      <c r="D442" s="342" t="s">
        <v>693</v>
      </c>
      <c r="E442" s="342" t="s">
        <v>643</v>
      </c>
      <c r="F442" s="342" t="s">
        <v>1247</v>
      </c>
      <c r="G442" s="342" t="s">
        <v>997</v>
      </c>
      <c r="H442" s="342" t="s">
        <v>997</v>
      </c>
    </row>
    <row r="443" spans="1:8" x14ac:dyDescent="0.25">
      <c r="A443" s="343">
        <v>1053</v>
      </c>
      <c r="B443" s="343">
        <v>362</v>
      </c>
      <c r="C443" s="342" t="s">
        <v>692</v>
      </c>
      <c r="D443" s="342" t="s">
        <v>693</v>
      </c>
      <c r="E443" s="342" t="s">
        <v>643</v>
      </c>
      <c r="F443" s="342" t="s">
        <v>1248</v>
      </c>
      <c r="G443" s="342" t="s">
        <v>997</v>
      </c>
      <c r="H443" s="342" t="s">
        <v>997</v>
      </c>
    </row>
    <row r="444" spans="1:8" x14ac:dyDescent="0.25">
      <c r="A444" s="343">
        <v>1046</v>
      </c>
      <c r="B444" s="343">
        <v>1277</v>
      </c>
      <c r="C444" s="342" t="s">
        <v>706</v>
      </c>
      <c r="D444" s="342" t="s">
        <v>720</v>
      </c>
      <c r="E444" s="342" t="s">
        <v>638</v>
      </c>
      <c r="F444" s="342" t="s">
        <v>1249</v>
      </c>
      <c r="G444" s="342" t="s">
        <v>997</v>
      </c>
      <c r="H444" s="342" t="s">
        <v>997</v>
      </c>
    </row>
    <row r="445" spans="1:8" x14ac:dyDescent="0.25">
      <c r="A445" s="343">
        <v>1047</v>
      </c>
      <c r="B445" s="343">
        <v>176</v>
      </c>
      <c r="C445" s="342" t="s">
        <v>692</v>
      </c>
      <c r="D445" s="342" t="s">
        <v>693</v>
      </c>
      <c r="E445" s="342" t="s">
        <v>643</v>
      </c>
      <c r="F445" s="342" t="s">
        <v>1250</v>
      </c>
      <c r="G445" s="342" t="s">
        <v>997</v>
      </c>
      <c r="H445" s="342" t="s">
        <v>997</v>
      </c>
    </row>
    <row r="446" spans="1:8" x14ac:dyDescent="0.25">
      <c r="A446" s="343">
        <v>1043</v>
      </c>
      <c r="B446" s="343">
        <v>44231</v>
      </c>
      <c r="C446" s="342" t="s">
        <v>767</v>
      </c>
      <c r="D446" s="342" t="s">
        <v>895</v>
      </c>
      <c r="E446" s="342" t="s">
        <v>652</v>
      </c>
      <c r="F446" s="342" t="s">
        <v>1251</v>
      </c>
      <c r="G446" s="342" t="s">
        <v>695</v>
      </c>
      <c r="H446" s="342" t="s">
        <v>272</v>
      </c>
    </row>
    <row r="447" spans="1:8" x14ac:dyDescent="0.25">
      <c r="A447" s="343">
        <v>1044</v>
      </c>
      <c r="B447" s="343">
        <v>55125</v>
      </c>
      <c r="C447" s="342" t="s">
        <v>701</v>
      </c>
      <c r="D447" s="342" t="s">
        <v>702</v>
      </c>
      <c r="E447" s="342" t="s">
        <v>625</v>
      </c>
      <c r="F447" s="342" t="s">
        <v>1252</v>
      </c>
      <c r="G447" s="342" t="s">
        <v>695</v>
      </c>
      <c r="H447" s="342" t="s">
        <v>1253</v>
      </c>
    </row>
    <row r="448" spans="1:8" x14ac:dyDescent="0.25">
      <c r="A448" s="343">
        <v>1045</v>
      </c>
      <c r="B448" s="343">
        <v>24459</v>
      </c>
      <c r="C448" s="342" t="s">
        <v>697</v>
      </c>
      <c r="D448" s="342" t="s">
        <v>714</v>
      </c>
      <c r="E448" s="342" t="s">
        <v>558</v>
      </c>
      <c r="F448" s="342" t="s">
        <v>1254</v>
      </c>
      <c r="G448" s="342" t="s">
        <v>695</v>
      </c>
      <c r="H448" s="342" t="s">
        <v>272</v>
      </c>
    </row>
    <row r="449" spans="1:8" x14ac:dyDescent="0.25">
      <c r="A449" s="343">
        <v>1040</v>
      </c>
      <c r="B449" s="343">
        <v>55534</v>
      </c>
      <c r="C449" s="342" t="s">
        <v>740</v>
      </c>
      <c r="D449" s="342" t="s">
        <v>741</v>
      </c>
      <c r="E449" s="342" t="s">
        <v>520</v>
      </c>
      <c r="F449" s="342" t="s">
        <v>1255</v>
      </c>
      <c r="G449" s="342" t="s">
        <v>997</v>
      </c>
      <c r="H449" s="342" t="s">
        <v>997</v>
      </c>
    </row>
    <row r="450" spans="1:8" x14ac:dyDescent="0.25">
      <c r="A450" s="343">
        <v>1039</v>
      </c>
      <c r="B450" s="343">
        <v>49923</v>
      </c>
      <c r="C450" s="342" t="s">
        <v>832</v>
      </c>
      <c r="D450" s="342" t="s">
        <v>837</v>
      </c>
      <c r="E450" s="342" t="s">
        <v>386</v>
      </c>
      <c r="F450" s="342" t="s">
        <v>1256</v>
      </c>
      <c r="G450" s="342" t="s">
        <v>997</v>
      </c>
      <c r="H450" s="342" t="s">
        <v>997</v>
      </c>
    </row>
    <row r="451" spans="1:8" x14ac:dyDescent="0.25">
      <c r="A451" s="343">
        <v>9</v>
      </c>
      <c r="B451" s="343">
        <v>311</v>
      </c>
      <c r="C451" s="342" t="s">
        <v>779</v>
      </c>
      <c r="D451" s="342" t="s">
        <v>858</v>
      </c>
      <c r="E451" s="342" t="s">
        <v>362</v>
      </c>
      <c r="F451" s="342" t="s">
        <v>1257</v>
      </c>
      <c r="G451" s="342" t="s">
        <v>695</v>
      </c>
      <c r="H451" s="342" t="s">
        <v>696</v>
      </c>
    </row>
    <row r="452" spans="1:8" x14ac:dyDescent="0.25">
      <c r="A452" s="343">
        <v>632</v>
      </c>
      <c r="B452" s="343">
        <v>297</v>
      </c>
      <c r="C452" s="342" t="s">
        <v>779</v>
      </c>
      <c r="D452" s="342" t="s">
        <v>858</v>
      </c>
      <c r="E452" s="342" t="s">
        <v>362</v>
      </c>
      <c r="F452" s="342" t="s">
        <v>1258</v>
      </c>
      <c r="G452" s="342" t="s">
        <v>695</v>
      </c>
      <c r="H452" s="342" t="s">
        <v>1005</v>
      </c>
    </row>
    <row r="453" spans="1:8" x14ac:dyDescent="0.25">
      <c r="A453" s="343">
        <v>857</v>
      </c>
      <c r="B453" s="343">
        <v>66239</v>
      </c>
      <c r="C453" s="342" t="s">
        <v>779</v>
      </c>
      <c r="D453" s="342" t="s">
        <v>858</v>
      </c>
      <c r="E453" s="342" t="s">
        <v>362</v>
      </c>
      <c r="F453" s="342" t="s">
        <v>1259</v>
      </c>
      <c r="G453" s="342" t="s">
        <v>805</v>
      </c>
      <c r="H453" s="342" t="s">
        <v>1260</v>
      </c>
    </row>
    <row r="454" spans="1:8" x14ac:dyDescent="0.25">
      <c r="A454" s="343">
        <v>938</v>
      </c>
      <c r="B454" s="343">
        <v>43675</v>
      </c>
      <c r="C454" s="342" t="s">
        <v>779</v>
      </c>
      <c r="D454" s="342" t="s">
        <v>858</v>
      </c>
      <c r="E454" s="342" t="s">
        <v>362</v>
      </c>
      <c r="F454" s="342" t="s">
        <v>1261</v>
      </c>
      <c r="G454" s="342" t="s">
        <v>805</v>
      </c>
      <c r="H454" s="342" t="s">
        <v>813</v>
      </c>
    </row>
    <row r="455" spans="1:8" x14ac:dyDescent="0.25">
      <c r="A455" s="343">
        <v>1038</v>
      </c>
      <c r="B455" s="343">
        <v>51168</v>
      </c>
      <c r="C455" s="342" t="s">
        <v>740</v>
      </c>
      <c r="D455" s="342" t="s">
        <v>920</v>
      </c>
      <c r="E455" s="342" t="s">
        <v>392</v>
      </c>
      <c r="F455" s="342" t="s">
        <v>1262</v>
      </c>
      <c r="G455" s="342" t="s">
        <v>695</v>
      </c>
      <c r="H455" s="342" t="s">
        <v>696</v>
      </c>
    </row>
    <row r="456" spans="1:8" x14ac:dyDescent="0.25">
      <c r="A456" s="343">
        <v>376</v>
      </c>
      <c r="B456" s="343">
        <v>63784</v>
      </c>
      <c r="C456" s="342" t="s">
        <v>697</v>
      </c>
      <c r="D456" s="342" t="s">
        <v>714</v>
      </c>
      <c r="E456" s="342" t="s">
        <v>374</v>
      </c>
      <c r="F456" s="342" t="s">
        <v>1263</v>
      </c>
      <c r="G456" s="342" t="s">
        <v>1099</v>
      </c>
      <c r="H456" s="342" t="s">
        <v>1100</v>
      </c>
    </row>
    <row r="457" spans="1:8" x14ac:dyDescent="0.25">
      <c r="A457" s="343">
        <v>16</v>
      </c>
      <c r="B457" s="343">
        <v>263</v>
      </c>
      <c r="C457" s="342" t="s">
        <v>697</v>
      </c>
      <c r="D457" s="342" t="s">
        <v>714</v>
      </c>
      <c r="E457" s="342" t="s">
        <v>374</v>
      </c>
      <c r="F457" s="342" t="s">
        <v>1264</v>
      </c>
      <c r="G457" s="342" t="s">
        <v>695</v>
      </c>
      <c r="H457" s="342" t="s">
        <v>696</v>
      </c>
    </row>
    <row r="458" spans="1:8" x14ac:dyDescent="0.25">
      <c r="A458" s="343">
        <v>830</v>
      </c>
      <c r="B458" s="343">
        <v>63799</v>
      </c>
      <c r="C458" s="342" t="s">
        <v>697</v>
      </c>
      <c r="D458" s="342" t="s">
        <v>714</v>
      </c>
      <c r="E458" s="342" t="s">
        <v>374</v>
      </c>
      <c r="F458" s="342" t="s">
        <v>1265</v>
      </c>
      <c r="G458" s="342" t="s">
        <v>805</v>
      </c>
      <c r="H458" s="342" t="s">
        <v>1142</v>
      </c>
    </row>
    <row r="459" spans="1:8" x14ac:dyDescent="0.25">
      <c r="A459" s="343">
        <v>1037</v>
      </c>
      <c r="B459" s="343">
        <v>50908</v>
      </c>
      <c r="C459" s="342" t="s">
        <v>779</v>
      </c>
      <c r="D459" s="342" t="s">
        <v>858</v>
      </c>
      <c r="E459" s="342" t="s">
        <v>529</v>
      </c>
      <c r="F459" s="342" t="s">
        <v>1266</v>
      </c>
      <c r="G459" s="342" t="s">
        <v>997</v>
      </c>
      <c r="H459" s="342" t="s">
        <v>997</v>
      </c>
    </row>
    <row r="460" spans="1:8" x14ac:dyDescent="0.25">
      <c r="A460" s="343">
        <v>1036</v>
      </c>
      <c r="B460" s="343">
        <v>55222</v>
      </c>
      <c r="C460" s="342" t="s">
        <v>740</v>
      </c>
      <c r="D460" s="342" t="s">
        <v>741</v>
      </c>
      <c r="E460" s="342" t="s">
        <v>616</v>
      </c>
      <c r="F460" s="342" t="s">
        <v>1267</v>
      </c>
      <c r="G460" s="342" t="s">
        <v>997</v>
      </c>
      <c r="H460" s="342" t="s">
        <v>997</v>
      </c>
    </row>
    <row r="461" spans="1:8" x14ac:dyDescent="0.25">
      <c r="A461" s="343">
        <v>1034</v>
      </c>
      <c r="B461" s="343">
        <v>67303</v>
      </c>
      <c r="C461" s="342" t="s">
        <v>832</v>
      </c>
      <c r="D461" s="342" t="s">
        <v>928</v>
      </c>
      <c r="E461" s="342" t="s">
        <v>492</v>
      </c>
      <c r="F461" s="342" t="s">
        <v>1268</v>
      </c>
      <c r="G461" s="342" t="s">
        <v>997</v>
      </c>
      <c r="H461" s="342" t="s">
        <v>997</v>
      </c>
    </row>
    <row r="462" spans="1:8" x14ac:dyDescent="0.25">
      <c r="A462" s="343">
        <v>1035</v>
      </c>
      <c r="B462" s="343">
        <v>63763</v>
      </c>
      <c r="C462" s="342" t="s">
        <v>767</v>
      </c>
      <c r="D462" s="342" t="s">
        <v>1220</v>
      </c>
      <c r="E462" s="342" t="s">
        <v>396</v>
      </c>
      <c r="F462" s="342" t="s">
        <v>1269</v>
      </c>
      <c r="G462" s="342" t="s">
        <v>997</v>
      </c>
      <c r="H462" s="342" t="s">
        <v>997</v>
      </c>
    </row>
    <row r="463" spans="1:8" x14ac:dyDescent="0.25">
      <c r="A463" s="343">
        <v>262</v>
      </c>
      <c r="B463" s="343">
        <v>276</v>
      </c>
      <c r="C463" s="342" t="s">
        <v>692</v>
      </c>
      <c r="D463" s="342" t="s">
        <v>1049</v>
      </c>
      <c r="E463" s="342" t="s">
        <v>632</v>
      </c>
      <c r="F463" s="342" t="s">
        <v>1270</v>
      </c>
      <c r="G463" s="342" t="s">
        <v>695</v>
      </c>
      <c r="H463" s="342" t="s">
        <v>696</v>
      </c>
    </row>
    <row r="464" spans="1:8" x14ac:dyDescent="0.25">
      <c r="A464" s="343">
        <v>1031</v>
      </c>
      <c r="B464" s="343">
        <v>53900</v>
      </c>
      <c r="C464" s="342" t="s">
        <v>740</v>
      </c>
      <c r="D464" s="342" t="s">
        <v>741</v>
      </c>
      <c r="E464" s="342" t="s">
        <v>468</v>
      </c>
      <c r="F464" s="342" t="s">
        <v>1271</v>
      </c>
      <c r="G464" s="342" t="s">
        <v>997</v>
      </c>
      <c r="H464" s="342" t="s">
        <v>997</v>
      </c>
    </row>
    <row r="465" spans="1:8" x14ac:dyDescent="0.25">
      <c r="A465" s="343">
        <v>1032</v>
      </c>
      <c r="B465" s="343">
        <v>50753</v>
      </c>
      <c r="C465" s="342" t="s">
        <v>767</v>
      </c>
      <c r="D465" s="342" t="s">
        <v>953</v>
      </c>
      <c r="E465" s="342" t="s">
        <v>647</v>
      </c>
      <c r="F465" s="342" t="s">
        <v>1272</v>
      </c>
      <c r="G465" s="342" t="s">
        <v>997</v>
      </c>
      <c r="H465" s="342" t="s">
        <v>997</v>
      </c>
    </row>
    <row r="466" spans="1:8" x14ac:dyDescent="0.25">
      <c r="A466" s="343">
        <v>1033</v>
      </c>
      <c r="B466" s="343">
        <v>55750</v>
      </c>
      <c r="C466" s="342" t="s">
        <v>767</v>
      </c>
      <c r="D466" s="342" t="s">
        <v>892</v>
      </c>
      <c r="E466" s="342" t="s">
        <v>476</v>
      </c>
      <c r="F466" s="342" t="s">
        <v>1273</v>
      </c>
      <c r="G466" s="342" t="s">
        <v>997</v>
      </c>
      <c r="H466" s="342" t="s">
        <v>997</v>
      </c>
    </row>
    <row r="467" spans="1:8" x14ac:dyDescent="0.25">
      <c r="A467" s="343">
        <v>824</v>
      </c>
      <c r="B467" s="343">
        <v>63815</v>
      </c>
      <c r="C467" s="342" t="s">
        <v>706</v>
      </c>
      <c r="D467" s="342" t="s">
        <v>907</v>
      </c>
      <c r="E467" s="342" t="s">
        <v>547</v>
      </c>
      <c r="F467" s="342" t="s">
        <v>1274</v>
      </c>
      <c r="G467" s="342" t="s">
        <v>695</v>
      </c>
      <c r="H467" s="342" t="s">
        <v>705</v>
      </c>
    </row>
    <row r="468" spans="1:8" x14ac:dyDescent="0.25">
      <c r="A468" s="343">
        <v>1029</v>
      </c>
      <c r="B468" s="343">
        <v>51881</v>
      </c>
      <c r="C468" s="342" t="s">
        <v>767</v>
      </c>
      <c r="D468" s="342" t="s">
        <v>939</v>
      </c>
      <c r="E468" s="342" t="s">
        <v>537</v>
      </c>
      <c r="F468" s="342" t="s">
        <v>1275</v>
      </c>
      <c r="G468" s="342" t="s">
        <v>997</v>
      </c>
      <c r="H468" s="342" t="s">
        <v>997</v>
      </c>
    </row>
    <row r="469" spans="1:8" x14ac:dyDescent="0.25">
      <c r="A469" s="343">
        <v>1030</v>
      </c>
      <c r="B469" s="343">
        <v>66233</v>
      </c>
      <c r="C469" s="342" t="s">
        <v>692</v>
      </c>
      <c r="D469" s="342" t="s">
        <v>1049</v>
      </c>
      <c r="E469" s="342" t="s">
        <v>632</v>
      </c>
      <c r="F469" s="342" t="s">
        <v>1276</v>
      </c>
      <c r="G469" s="342" t="s">
        <v>805</v>
      </c>
      <c r="H469" s="342" t="s">
        <v>806</v>
      </c>
    </row>
    <row r="470" spans="1:8" x14ac:dyDescent="0.25">
      <c r="A470" s="343">
        <v>418</v>
      </c>
      <c r="B470" s="343">
        <v>64287</v>
      </c>
      <c r="C470" s="342" t="s">
        <v>692</v>
      </c>
      <c r="D470" s="342" t="s">
        <v>901</v>
      </c>
      <c r="E470" s="342" t="s">
        <v>624</v>
      </c>
      <c r="F470" s="342" t="s">
        <v>1277</v>
      </c>
      <c r="G470" s="342" t="s">
        <v>695</v>
      </c>
      <c r="H470" s="342" t="s">
        <v>705</v>
      </c>
    </row>
    <row r="471" spans="1:8" x14ac:dyDescent="0.25">
      <c r="A471" s="343">
        <v>1028</v>
      </c>
      <c r="B471" s="343">
        <v>48879</v>
      </c>
      <c r="C471" s="342" t="s">
        <v>697</v>
      </c>
      <c r="D471" s="342" t="s">
        <v>698</v>
      </c>
      <c r="E471" s="342" t="s">
        <v>599</v>
      </c>
      <c r="F471" s="342" t="s">
        <v>1278</v>
      </c>
      <c r="G471" s="342" t="s">
        <v>997</v>
      </c>
      <c r="H471" s="342" t="s">
        <v>997</v>
      </c>
    </row>
    <row r="472" spans="1:8" x14ac:dyDescent="0.25">
      <c r="A472" s="343">
        <v>182</v>
      </c>
      <c r="B472" s="343">
        <v>48948</v>
      </c>
      <c r="C472" s="342" t="s">
        <v>706</v>
      </c>
      <c r="D472" s="342" t="s">
        <v>907</v>
      </c>
      <c r="E472" s="342" t="s">
        <v>547</v>
      </c>
      <c r="F472" s="342" t="s">
        <v>1279</v>
      </c>
      <c r="G472" s="342" t="s">
        <v>695</v>
      </c>
      <c r="H472" s="342" t="s">
        <v>696</v>
      </c>
    </row>
    <row r="473" spans="1:8" x14ac:dyDescent="0.25">
      <c r="A473" s="343">
        <v>310</v>
      </c>
      <c r="B473" s="343">
        <v>64324</v>
      </c>
      <c r="C473" s="342" t="s">
        <v>706</v>
      </c>
      <c r="D473" s="342" t="s">
        <v>847</v>
      </c>
      <c r="E473" s="342" t="s">
        <v>680</v>
      </c>
      <c r="F473" s="342" t="s">
        <v>1280</v>
      </c>
      <c r="G473" s="342" t="s">
        <v>695</v>
      </c>
      <c r="H473" s="342" t="s">
        <v>696</v>
      </c>
    </row>
    <row r="474" spans="1:8" x14ac:dyDescent="0.25">
      <c r="A474" s="343">
        <v>961</v>
      </c>
      <c r="B474" s="343">
        <v>67853</v>
      </c>
      <c r="C474" s="342" t="s">
        <v>692</v>
      </c>
      <c r="D474" s="342" t="s">
        <v>901</v>
      </c>
      <c r="E474" s="342" t="s">
        <v>463</v>
      </c>
      <c r="F474" s="342" t="s">
        <v>1281</v>
      </c>
      <c r="G474" s="342" t="s">
        <v>805</v>
      </c>
      <c r="H474" s="342" t="s">
        <v>806</v>
      </c>
    </row>
    <row r="475" spans="1:8" x14ac:dyDescent="0.25">
      <c r="A475" s="343">
        <v>977</v>
      </c>
      <c r="B475" s="343">
        <v>67856</v>
      </c>
      <c r="C475" s="342" t="s">
        <v>692</v>
      </c>
      <c r="D475" s="342" t="s">
        <v>901</v>
      </c>
      <c r="E475" s="342" t="s">
        <v>624</v>
      </c>
      <c r="F475" s="342" t="s">
        <v>1282</v>
      </c>
      <c r="G475" s="342" t="s">
        <v>1099</v>
      </c>
      <c r="H475" s="342" t="s">
        <v>1100</v>
      </c>
    </row>
    <row r="476" spans="1:8" x14ac:dyDescent="0.25">
      <c r="A476" s="343">
        <v>96</v>
      </c>
      <c r="B476" s="343">
        <v>48680</v>
      </c>
      <c r="C476" s="342" t="s">
        <v>789</v>
      </c>
      <c r="D476" s="342" t="s">
        <v>790</v>
      </c>
      <c r="E476" s="342" t="s">
        <v>460</v>
      </c>
      <c r="F476" s="342" t="s">
        <v>1283</v>
      </c>
      <c r="G476" s="342" t="s">
        <v>695</v>
      </c>
      <c r="H476" s="342" t="s">
        <v>696</v>
      </c>
    </row>
    <row r="477" spans="1:8" x14ac:dyDescent="0.25">
      <c r="A477" s="343">
        <v>897</v>
      </c>
      <c r="B477" s="343">
        <v>66200</v>
      </c>
      <c r="C477" s="342" t="s">
        <v>692</v>
      </c>
      <c r="D477" s="342" t="s">
        <v>803</v>
      </c>
      <c r="E477" s="342" t="s">
        <v>533</v>
      </c>
      <c r="F477" s="342" t="s">
        <v>1284</v>
      </c>
      <c r="G477" s="342" t="s">
        <v>805</v>
      </c>
      <c r="H477" s="342" t="s">
        <v>806</v>
      </c>
    </row>
    <row r="478" spans="1:8" x14ac:dyDescent="0.25">
      <c r="A478" s="343">
        <v>960</v>
      </c>
      <c r="B478" s="343">
        <v>67854</v>
      </c>
      <c r="C478" s="342" t="s">
        <v>692</v>
      </c>
      <c r="D478" s="342" t="s">
        <v>901</v>
      </c>
      <c r="E478" s="342" t="s">
        <v>463</v>
      </c>
      <c r="F478" s="342" t="s">
        <v>1285</v>
      </c>
      <c r="G478" s="342" t="s">
        <v>805</v>
      </c>
      <c r="H478" s="342" t="s">
        <v>1142</v>
      </c>
    </row>
    <row r="479" spans="1:8" x14ac:dyDescent="0.25">
      <c r="A479" s="343">
        <v>964</v>
      </c>
      <c r="B479" s="343">
        <v>67855</v>
      </c>
      <c r="C479" s="342" t="s">
        <v>692</v>
      </c>
      <c r="D479" s="342" t="s">
        <v>803</v>
      </c>
      <c r="E479" s="342" t="s">
        <v>533</v>
      </c>
      <c r="F479" s="342" t="s">
        <v>1286</v>
      </c>
      <c r="G479" s="342" t="s">
        <v>805</v>
      </c>
      <c r="H479" s="342" t="s">
        <v>1183</v>
      </c>
    </row>
    <row r="480" spans="1:8" x14ac:dyDescent="0.25">
      <c r="A480" s="343">
        <v>887</v>
      </c>
      <c r="B480" s="343">
        <v>67891</v>
      </c>
      <c r="C480" s="342" t="s">
        <v>697</v>
      </c>
      <c r="D480" s="342" t="s">
        <v>877</v>
      </c>
      <c r="E480" s="342" t="s">
        <v>665</v>
      </c>
      <c r="F480" s="342" t="s">
        <v>1287</v>
      </c>
      <c r="G480" s="342" t="s">
        <v>805</v>
      </c>
      <c r="H480" s="342" t="s">
        <v>883</v>
      </c>
    </row>
    <row r="481" spans="1:8" x14ac:dyDescent="0.25">
      <c r="A481" s="343">
        <v>1003</v>
      </c>
      <c r="B481" s="343">
        <v>67851</v>
      </c>
      <c r="C481" s="342" t="s">
        <v>740</v>
      </c>
      <c r="D481" s="342" t="s">
        <v>765</v>
      </c>
      <c r="E481" s="342" t="s">
        <v>663</v>
      </c>
      <c r="F481" s="342" t="s">
        <v>1288</v>
      </c>
      <c r="G481" s="342" t="s">
        <v>1099</v>
      </c>
      <c r="H481" s="342" t="s">
        <v>1100</v>
      </c>
    </row>
    <row r="482" spans="1:8" x14ac:dyDescent="0.25">
      <c r="A482" s="343">
        <v>1025</v>
      </c>
      <c r="B482" s="343">
        <v>67874</v>
      </c>
      <c r="C482" s="342" t="s">
        <v>692</v>
      </c>
      <c r="D482" s="342" t="s">
        <v>827</v>
      </c>
      <c r="E482" s="342" t="s">
        <v>612</v>
      </c>
      <c r="F482" s="342" t="s">
        <v>1289</v>
      </c>
      <c r="G482" s="342" t="s">
        <v>695</v>
      </c>
      <c r="H482" s="342" t="s">
        <v>696</v>
      </c>
    </row>
    <row r="483" spans="1:8" x14ac:dyDescent="0.25">
      <c r="A483" s="343">
        <v>309</v>
      </c>
      <c r="B483" s="343">
        <v>64041</v>
      </c>
      <c r="C483" s="342" t="s">
        <v>701</v>
      </c>
      <c r="D483" s="342" t="s">
        <v>727</v>
      </c>
      <c r="E483" s="342" t="s">
        <v>679</v>
      </c>
      <c r="F483" s="342" t="s">
        <v>1290</v>
      </c>
      <c r="G483" s="342" t="s">
        <v>695</v>
      </c>
      <c r="H483" s="342" t="s">
        <v>696</v>
      </c>
    </row>
    <row r="484" spans="1:8" x14ac:dyDescent="0.25">
      <c r="A484" s="343">
        <v>1017</v>
      </c>
      <c r="B484" s="343">
        <v>67865</v>
      </c>
      <c r="C484" s="342" t="s">
        <v>701</v>
      </c>
      <c r="D484" s="342" t="s">
        <v>711</v>
      </c>
      <c r="E484" s="342" t="s">
        <v>540</v>
      </c>
      <c r="F484" s="342" t="s">
        <v>1291</v>
      </c>
      <c r="G484" s="342" t="s">
        <v>805</v>
      </c>
      <c r="H484" s="342" t="s">
        <v>883</v>
      </c>
    </row>
    <row r="485" spans="1:8" x14ac:dyDescent="0.25">
      <c r="A485" s="343">
        <v>703</v>
      </c>
      <c r="B485" s="343">
        <v>63980</v>
      </c>
      <c r="C485" s="342" t="s">
        <v>697</v>
      </c>
      <c r="D485" s="342" t="s">
        <v>772</v>
      </c>
      <c r="E485" s="342" t="s">
        <v>508</v>
      </c>
      <c r="F485" s="342" t="s">
        <v>1292</v>
      </c>
      <c r="G485" s="342" t="s">
        <v>805</v>
      </c>
      <c r="H485" s="342" t="s">
        <v>883</v>
      </c>
    </row>
    <row r="486" spans="1:8" x14ac:dyDescent="0.25">
      <c r="A486" s="343">
        <v>1014</v>
      </c>
      <c r="B486" s="343">
        <v>67738</v>
      </c>
      <c r="C486" s="342" t="s">
        <v>740</v>
      </c>
      <c r="D486" s="342" t="s">
        <v>920</v>
      </c>
      <c r="E486" s="342" t="s">
        <v>494</v>
      </c>
      <c r="F486" s="342" t="s">
        <v>1293</v>
      </c>
      <c r="G486" s="342" t="s">
        <v>695</v>
      </c>
      <c r="H486" s="342" t="s">
        <v>734</v>
      </c>
    </row>
    <row r="487" spans="1:8" x14ac:dyDescent="0.25">
      <c r="A487" s="343">
        <v>571</v>
      </c>
      <c r="B487" s="343">
        <v>64042</v>
      </c>
      <c r="C487" s="342" t="s">
        <v>701</v>
      </c>
      <c r="D487" s="342" t="s">
        <v>727</v>
      </c>
      <c r="E487" s="342" t="s">
        <v>679</v>
      </c>
      <c r="F487" s="342" t="s">
        <v>1294</v>
      </c>
      <c r="G487" s="342" t="s">
        <v>1099</v>
      </c>
      <c r="H487" s="342" t="s">
        <v>1100</v>
      </c>
    </row>
    <row r="488" spans="1:8" x14ac:dyDescent="0.25">
      <c r="A488" s="343">
        <v>326</v>
      </c>
      <c r="B488" s="343">
        <v>246</v>
      </c>
      <c r="C488" s="342" t="s">
        <v>692</v>
      </c>
      <c r="D488" s="342" t="s">
        <v>693</v>
      </c>
      <c r="E488" s="342" t="s">
        <v>643</v>
      </c>
      <c r="F488" s="342" t="s">
        <v>1295</v>
      </c>
      <c r="G488" s="342" t="s">
        <v>695</v>
      </c>
      <c r="H488" s="342" t="s">
        <v>696</v>
      </c>
    </row>
    <row r="489" spans="1:8" x14ac:dyDescent="0.25">
      <c r="A489" s="343">
        <v>1021</v>
      </c>
      <c r="B489" s="343">
        <v>67867</v>
      </c>
      <c r="C489" s="342" t="s">
        <v>701</v>
      </c>
      <c r="D489" s="342" t="s">
        <v>845</v>
      </c>
      <c r="E489" s="342" t="s">
        <v>370</v>
      </c>
      <c r="F489" s="342" t="s">
        <v>1296</v>
      </c>
      <c r="G489" s="342" t="s">
        <v>695</v>
      </c>
      <c r="H489" s="342" t="s">
        <v>1005</v>
      </c>
    </row>
    <row r="490" spans="1:8" x14ac:dyDescent="0.25">
      <c r="A490" s="343">
        <v>1023</v>
      </c>
      <c r="B490" s="343">
        <v>68207</v>
      </c>
      <c r="C490" s="342" t="s">
        <v>692</v>
      </c>
      <c r="D490" s="342" t="s">
        <v>722</v>
      </c>
      <c r="E490" s="342" t="s">
        <v>551</v>
      </c>
      <c r="F490" s="342" t="s">
        <v>1297</v>
      </c>
      <c r="G490" s="342" t="s">
        <v>695</v>
      </c>
      <c r="H490" s="342" t="s">
        <v>696</v>
      </c>
    </row>
    <row r="491" spans="1:8" x14ac:dyDescent="0.25">
      <c r="A491" s="343">
        <v>578</v>
      </c>
      <c r="B491" s="343">
        <v>63793</v>
      </c>
      <c r="C491" s="342" t="s">
        <v>692</v>
      </c>
      <c r="D491" s="342" t="s">
        <v>901</v>
      </c>
      <c r="E491" s="342" t="s">
        <v>373</v>
      </c>
      <c r="F491" s="342" t="s">
        <v>1298</v>
      </c>
      <c r="G491" s="342" t="s">
        <v>695</v>
      </c>
      <c r="H491" s="342" t="s">
        <v>726</v>
      </c>
    </row>
    <row r="492" spans="1:8" x14ac:dyDescent="0.25">
      <c r="A492" s="343">
        <v>579</v>
      </c>
      <c r="B492" s="343">
        <v>63791</v>
      </c>
      <c r="C492" s="342" t="s">
        <v>692</v>
      </c>
      <c r="D492" s="342" t="s">
        <v>901</v>
      </c>
      <c r="E492" s="342" t="s">
        <v>373</v>
      </c>
      <c r="F492" s="342" t="s">
        <v>1299</v>
      </c>
      <c r="G492" s="342" t="s">
        <v>695</v>
      </c>
      <c r="H492" s="342" t="s">
        <v>705</v>
      </c>
    </row>
    <row r="493" spans="1:8" x14ac:dyDescent="0.25">
      <c r="A493" s="343">
        <v>834</v>
      </c>
      <c r="B493" s="343">
        <v>63788</v>
      </c>
      <c r="C493" s="342" t="s">
        <v>692</v>
      </c>
      <c r="D493" s="342" t="s">
        <v>901</v>
      </c>
      <c r="E493" s="342" t="s">
        <v>373</v>
      </c>
      <c r="F493" s="342" t="s">
        <v>1300</v>
      </c>
      <c r="G493" s="342" t="s">
        <v>695</v>
      </c>
      <c r="H493" s="342" t="s">
        <v>710</v>
      </c>
    </row>
    <row r="494" spans="1:8" x14ac:dyDescent="0.25">
      <c r="A494" s="343">
        <v>835</v>
      </c>
      <c r="B494" s="343">
        <v>63790</v>
      </c>
      <c r="C494" s="342" t="s">
        <v>692</v>
      </c>
      <c r="D494" s="342" t="s">
        <v>901</v>
      </c>
      <c r="E494" s="342" t="s">
        <v>373</v>
      </c>
      <c r="F494" s="342" t="s">
        <v>1301</v>
      </c>
      <c r="G494" s="342" t="s">
        <v>695</v>
      </c>
      <c r="H494" s="342" t="s">
        <v>1302</v>
      </c>
    </row>
    <row r="495" spans="1:8" x14ac:dyDescent="0.25">
      <c r="A495" s="343">
        <v>42</v>
      </c>
      <c r="B495" s="343">
        <v>48544</v>
      </c>
      <c r="C495" s="342" t="s">
        <v>767</v>
      </c>
      <c r="D495" s="342" t="s">
        <v>953</v>
      </c>
      <c r="E495" s="342" t="s">
        <v>403</v>
      </c>
      <c r="F495" s="342" t="s">
        <v>1303</v>
      </c>
      <c r="G495" s="342" t="s">
        <v>695</v>
      </c>
      <c r="H495" s="342" t="s">
        <v>696</v>
      </c>
    </row>
    <row r="496" spans="1:8" x14ac:dyDescent="0.25">
      <c r="A496" s="343">
        <v>170</v>
      </c>
      <c r="B496" s="343">
        <v>45918</v>
      </c>
      <c r="C496" s="342" t="s">
        <v>701</v>
      </c>
      <c r="D496" s="342" t="s">
        <v>744</v>
      </c>
      <c r="E496" s="342" t="s">
        <v>534</v>
      </c>
      <c r="F496" s="342" t="s">
        <v>1304</v>
      </c>
      <c r="G496" s="342" t="s">
        <v>695</v>
      </c>
      <c r="H496" s="342" t="s">
        <v>696</v>
      </c>
    </row>
    <row r="497" spans="1:8" x14ac:dyDescent="0.25">
      <c r="A497" s="343">
        <v>249</v>
      </c>
      <c r="B497" s="343">
        <v>214</v>
      </c>
      <c r="C497" s="342" t="s">
        <v>789</v>
      </c>
      <c r="D497" s="342" t="s">
        <v>947</v>
      </c>
      <c r="E497" s="342" t="s">
        <v>620</v>
      </c>
      <c r="F497" s="342" t="s">
        <v>1305</v>
      </c>
      <c r="G497" s="342" t="s">
        <v>695</v>
      </c>
      <c r="H497" s="342" t="s">
        <v>696</v>
      </c>
    </row>
    <row r="498" spans="1:8" x14ac:dyDescent="0.25">
      <c r="A498" s="343">
        <v>1018</v>
      </c>
      <c r="B498" s="343">
        <v>67873</v>
      </c>
      <c r="C498" s="342" t="s">
        <v>701</v>
      </c>
      <c r="D498" s="342" t="s">
        <v>711</v>
      </c>
      <c r="E498" s="342" t="s">
        <v>421</v>
      </c>
      <c r="F498" s="342" t="s">
        <v>1306</v>
      </c>
      <c r="G498" s="342" t="s">
        <v>695</v>
      </c>
      <c r="H498" s="342" t="s">
        <v>726</v>
      </c>
    </row>
    <row r="499" spans="1:8" x14ac:dyDescent="0.25">
      <c r="A499" s="343">
        <v>144</v>
      </c>
      <c r="B499" s="343">
        <v>43794</v>
      </c>
      <c r="C499" s="342" t="s">
        <v>697</v>
      </c>
      <c r="D499" s="342" t="s">
        <v>772</v>
      </c>
      <c r="E499" s="342" t="s">
        <v>508</v>
      </c>
      <c r="F499" s="342" t="s">
        <v>1307</v>
      </c>
      <c r="G499" s="342" t="s">
        <v>695</v>
      </c>
      <c r="H499" s="342" t="s">
        <v>696</v>
      </c>
    </row>
    <row r="500" spans="1:8" x14ac:dyDescent="0.25">
      <c r="A500" s="343">
        <v>47</v>
      </c>
      <c r="B500" s="343">
        <v>50978</v>
      </c>
      <c r="C500" s="342" t="s">
        <v>701</v>
      </c>
      <c r="D500" s="342" t="s">
        <v>749</v>
      </c>
      <c r="E500" s="342" t="s">
        <v>408</v>
      </c>
      <c r="F500" s="342" t="s">
        <v>1308</v>
      </c>
      <c r="G500" s="342" t="s">
        <v>695</v>
      </c>
      <c r="H500" s="342" t="s">
        <v>696</v>
      </c>
    </row>
    <row r="501" spans="1:8" x14ac:dyDescent="0.25">
      <c r="A501" s="343">
        <v>903</v>
      </c>
      <c r="B501" s="343">
        <v>66167</v>
      </c>
      <c r="C501" s="342" t="s">
        <v>692</v>
      </c>
      <c r="D501" s="342" t="s">
        <v>901</v>
      </c>
      <c r="E501" s="342" t="s">
        <v>463</v>
      </c>
      <c r="F501" s="342" t="s">
        <v>1309</v>
      </c>
      <c r="G501" s="342" t="s">
        <v>695</v>
      </c>
      <c r="H501" s="342" t="s">
        <v>696</v>
      </c>
    </row>
    <row r="502" spans="1:8" x14ac:dyDescent="0.25">
      <c r="A502" s="343">
        <v>157</v>
      </c>
      <c r="B502" s="343">
        <v>64058</v>
      </c>
      <c r="C502" s="342" t="s">
        <v>697</v>
      </c>
      <c r="D502" s="342" t="s">
        <v>714</v>
      </c>
      <c r="E502" s="342" t="s">
        <v>522</v>
      </c>
      <c r="F502" s="342" t="s">
        <v>1310</v>
      </c>
      <c r="G502" s="342" t="s">
        <v>695</v>
      </c>
      <c r="H502" s="342" t="s">
        <v>696</v>
      </c>
    </row>
    <row r="503" spans="1:8" x14ac:dyDescent="0.25">
      <c r="A503" s="343">
        <v>270</v>
      </c>
      <c r="B503" s="343">
        <v>255</v>
      </c>
      <c r="C503" s="342" t="s">
        <v>789</v>
      </c>
      <c r="D503" s="342" t="s">
        <v>947</v>
      </c>
      <c r="E503" s="342" t="s">
        <v>639</v>
      </c>
      <c r="F503" s="342" t="s">
        <v>1311</v>
      </c>
      <c r="G503" s="342" t="s">
        <v>695</v>
      </c>
      <c r="H503" s="342" t="s">
        <v>696</v>
      </c>
    </row>
    <row r="504" spans="1:8" x14ac:dyDescent="0.25">
      <c r="A504" s="343">
        <v>441</v>
      </c>
      <c r="B504" s="343">
        <v>48920</v>
      </c>
      <c r="C504" s="342" t="s">
        <v>789</v>
      </c>
      <c r="D504" s="342" t="s">
        <v>947</v>
      </c>
      <c r="E504" s="342" t="s">
        <v>639</v>
      </c>
      <c r="F504" s="342" t="s">
        <v>1312</v>
      </c>
      <c r="G504" s="342" t="s">
        <v>695</v>
      </c>
      <c r="H504" s="342" t="s">
        <v>726</v>
      </c>
    </row>
    <row r="505" spans="1:8" x14ac:dyDescent="0.25">
      <c r="A505" s="343">
        <v>246</v>
      </c>
      <c r="B505" s="343">
        <v>48661</v>
      </c>
      <c r="C505" s="342" t="s">
        <v>740</v>
      </c>
      <c r="D505" s="342" t="s">
        <v>741</v>
      </c>
      <c r="E505" s="342" t="s">
        <v>616</v>
      </c>
      <c r="F505" s="342" t="s">
        <v>1313</v>
      </c>
      <c r="G505" s="342" t="s">
        <v>695</v>
      </c>
      <c r="H505" s="342" t="s">
        <v>696</v>
      </c>
    </row>
    <row r="506" spans="1:8" x14ac:dyDescent="0.25">
      <c r="A506" s="343">
        <v>62</v>
      </c>
      <c r="B506" s="343">
        <v>131</v>
      </c>
      <c r="C506" s="342" t="s">
        <v>706</v>
      </c>
      <c r="D506" s="342" t="s">
        <v>847</v>
      </c>
      <c r="E506" s="342" t="s">
        <v>425</v>
      </c>
      <c r="F506" s="342" t="s">
        <v>1314</v>
      </c>
      <c r="G506" s="342" t="s">
        <v>695</v>
      </c>
      <c r="H506" s="342" t="s">
        <v>696</v>
      </c>
    </row>
    <row r="507" spans="1:8" x14ac:dyDescent="0.25">
      <c r="A507" s="343">
        <v>175</v>
      </c>
      <c r="B507" s="343">
        <v>50911</v>
      </c>
      <c r="C507" s="342" t="s">
        <v>706</v>
      </c>
      <c r="D507" s="342" t="s">
        <v>847</v>
      </c>
      <c r="E507" s="342" t="s">
        <v>539</v>
      </c>
      <c r="F507" s="342" t="s">
        <v>1315</v>
      </c>
      <c r="G507" s="342" t="s">
        <v>695</v>
      </c>
      <c r="H507" s="342" t="s">
        <v>696</v>
      </c>
    </row>
    <row r="508" spans="1:8" x14ac:dyDescent="0.25">
      <c r="A508" s="343">
        <v>761</v>
      </c>
      <c r="B508" s="343">
        <v>64119</v>
      </c>
      <c r="C508" s="342" t="s">
        <v>706</v>
      </c>
      <c r="D508" s="342" t="s">
        <v>707</v>
      </c>
      <c r="E508" s="342" t="s">
        <v>446</v>
      </c>
      <c r="F508" s="342" t="s">
        <v>1316</v>
      </c>
      <c r="G508" s="342" t="s">
        <v>695</v>
      </c>
      <c r="H508" s="342" t="s">
        <v>726</v>
      </c>
    </row>
    <row r="509" spans="1:8" x14ac:dyDescent="0.25">
      <c r="A509" s="343">
        <v>13</v>
      </c>
      <c r="B509" s="343">
        <v>48907</v>
      </c>
      <c r="C509" s="342" t="s">
        <v>767</v>
      </c>
      <c r="D509" s="342" t="s">
        <v>768</v>
      </c>
      <c r="E509" s="342" t="s">
        <v>369</v>
      </c>
      <c r="F509" s="342" t="s">
        <v>1317</v>
      </c>
      <c r="G509" s="342" t="s">
        <v>695</v>
      </c>
      <c r="H509" s="342" t="s">
        <v>696</v>
      </c>
    </row>
    <row r="510" spans="1:8" x14ac:dyDescent="0.25">
      <c r="A510" s="343">
        <v>126</v>
      </c>
      <c r="B510" s="343">
        <v>217</v>
      </c>
      <c r="C510" s="342" t="s">
        <v>740</v>
      </c>
      <c r="D510" s="342" t="s">
        <v>963</v>
      </c>
      <c r="E510" s="342" t="s">
        <v>489</v>
      </c>
      <c r="F510" s="342" t="s">
        <v>1318</v>
      </c>
      <c r="G510" s="342" t="s">
        <v>695</v>
      </c>
      <c r="H510" s="342" t="s">
        <v>696</v>
      </c>
    </row>
    <row r="511" spans="1:8" x14ac:dyDescent="0.25">
      <c r="A511" s="343">
        <v>398</v>
      </c>
      <c r="B511" s="343">
        <v>48465</v>
      </c>
      <c r="C511" s="342" t="s">
        <v>692</v>
      </c>
      <c r="D511" s="342" t="s">
        <v>693</v>
      </c>
      <c r="E511" s="342" t="s">
        <v>643</v>
      </c>
      <c r="F511" s="342" t="s">
        <v>1319</v>
      </c>
      <c r="G511" s="342" t="s">
        <v>805</v>
      </c>
      <c r="H511" s="342" t="s">
        <v>1183</v>
      </c>
    </row>
    <row r="512" spans="1:8" x14ac:dyDescent="0.25">
      <c r="A512" s="343">
        <v>1015</v>
      </c>
      <c r="B512" s="343">
        <v>67864</v>
      </c>
      <c r="C512" s="342" t="s">
        <v>767</v>
      </c>
      <c r="D512" s="342" t="s">
        <v>768</v>
      </c>
      <c r="E512" s="342" t="s">
        <v>465</v>
      </c>
      <c r="F512" s="342" t="s">
        <v>1320</v>
      </c>
      <c r="G512" s="342" t="s">
        <v>1099</v>
      </c>
      <c r="H512" s="342" t="s">
        <v>1100</v>
      </c>
    </row>
    <row r="513" spans="1:8" x14ac:dyDescent="0.25">
      <c r="A513" s="343">
        <v>257</v>
      </c>
      <c r="B513" s="343">
        <v>231</v>
      </c>
      <c r="C513" s="342" t="s">
        <v>692</v>
      </c>
      <c r="D513" s="342" t="s">
        <v>827</v>
      </c>
      <c r="E513" s="342" t="s">
        <v>629</v>
      </c>
      <c r="F513" s="342" t="s">
        <v>1321</v>
      </c>
      <c r="G513" s="342" t="s">
        <v>695</v>
      </c>
      <c r="H513" s="342" t="s">
        <v>696</v>
      </c>
    </row>
    <row r="514" spans="1:8" x14ac:dyDescent="0.25">
      <c r="A514" s="343">
        <v>165</v>
      </c>
      <c r="B514" s="343">
        <v>43785</v>
      </c>
      <c r="C514" s="342" t="s">
        <v>697</v>
      </c>
      <c r="D514" s="342" t="s">
        <v>877</v>
      </c>
      <c r="E514" s="342" t="s">
        <v>530</v>
      </c>
      <c r="F514" s="342" t="s">
        <v>1322</v>
      </c>
      <c r="G514" s="342" t="s">
        <v>695</v>
      </c>
      <c r="H514" s="342" t="s">
        <v>696</v>
      </c>
    </row>
    <row r="515" spans="1:8" x14ac:dyDescent="0.25">
      <c r="A515" s="343">
        <v>362</v>
      </c>
      <c r="B515" s="343">
        <v>64258</v>
      </c>
      <c r="C515" s="342" t="s">
        <v>706</v>
      </c>
      <c r="D515" s="342" t="s">
        <v>707</v>
      </c>
      <c r="E515" s="342" t="s">
        <v>554</v>
      </c>
      <c r="F515" s="342" t="s">
        <v>1323</v>
      </c>
      <c r="G515" s="342" t="s">
        <v>695</v>
      </c>
      <c r="H515" s="342" t="s">
        <v>966</v>
      </c>
    </row>
    <row r="516" spans="1:8" x14ac:dyDescent="0.25">
      <c r="A516" s="343">
        <v>716</v>
      </c>
      <c r="B516" s="343">
        <v>64259</v>
      </c>
      <c r="C516" s="342" t="s">
        <v>706</v>
      </c>
      <c r="D516" s="342" t="s">
        <v>707</v>
      </c>
      <c r="E516" s="342" t="s">
        <v>554</v>
      </c>
      <c r="F516" s="342" t="s">
        <v>1324</v>
      </c>
      <c r="G516" s="342" t="s">
        <v>695</v>
      </c>
      <c r="H516" s="342" t="s">
        <v>696</v>
      </c>
    </row>
    <row r="517" spans="1:8" x14ac:dyDescent="0.25">
      <c r="A517" s="343">
        <v>483</v>
      </c>
      <c r="B517" s="343">
        <v>63850</v>
      </c>
      <c r="C517" s="342" t="s">
        <v>767</v>
      </c>
      <c r="D517" s="342" t="s">
        <v>953</v>
      </c>
      <c r="E517" s="342" t="s">
        <v>403</v>
      </c>
      <c r="F517" s="342" t="s">
        <v>1325</v>
      </c>
      <c r="G517" s="342" t="s">
        <v>695</v>
      </c>
      <c r="H517" s="342" t="s">
        <v>705</v>
      </c>
    </row>
    <row r="518" spans="1:8" x14ac:dyDescent="0.25">
      <c r="A518" s="343">
        <v>177</v>
      </c>
      <c r="B518" s="343">
        <v>262</v>
      </c>
      <c r="C518" s="342" t="s">
        <v>767</v>
      </c>
      <c r="D518" s="342" t="s">
        <v>1220</v>
      </c>
      <c r="E518" s="342" t="s">
        <v>541</v>
      </c>
      <c r="F518" s="342" t="s">
        <v>1326</v>
      </c>
      <c r="G518" s="342" t="s">
        <v>695</v>
      </c>
      <c r="H518" s="342" t="s">
        <v>696</v>
      </c>
    </row>
    <row r="519" spans="1:8" x14ac:dyDescent="0.25">
      <c r="A519" s="343">
        <v>183</v>
      </c>
      <c r="B519" s="343">
        <v>54845</v>
      </c>
      <c r="C519" s="342" t="s">
        <v>767</v>
      </c>
      <c r="D519" s="342" t="s">
        <v>1220</v>
      </c>
      <c r="E519" s="342" t="s">
        <v>548</v>
      </c>
      <c r="F519" s="342" t="s">
        <v>1327</v>
      </c>
      <c r="G519" s="342" t="s">
        <v>695</v>
      </c>
      <c r="H519" s="342" t="s">
        <v>696</v>
      </c>
    </row>
    <row r="520" spans="1:8" x14ac:dyDescent="0.25">
      <c r="A520" s="343">
        <v>238</v>
      </c>
      <c r="B520" s="343">
        <v>48929</v>
      </c>
      <c r="C520" s="342" t="s">
        <v>767</v>
      </c>
      <c r="D520" s="342" t="s">
        <v>770</v>
      </c>
      <c r="E520" s="342" t="s">
        <v>607</v>
      </c>
      <c r="F520" s="342" t="s">
        <v>1328</v>
      </c>
      <c r="G520" s="342" t="s">
        <v>695</v>
      </c>
      <c r="H520" s="342" t="s">
        <v>696</v>
      </c>
    </row>
    <row r="521" spans="1:8" x14ac:dyDescent="0.25">
      <c r="A521" s="343">
        <v>255</v>
      </c>
      <c r="B521" s="343">
        <v>45</v>
      </c>
      <c r="C521" s="342" t="s">
        <v>767</v>
      </c>
      <c r="D521" s="342" t="s">
        <v>895</v>
      </c>
      <c r="E521" s="342" t="s">
        <v>1329</v>
      </c>
      <c r="F521" s="342" t="s">
        <v>1330</v>
      </c>
      <c r="G521" s="342" t="s">
        <v>695</v>
      </c>
      <c r="H521" s="342" t="s">
        <v>696</v>
      </c>
    </row>
    <row r="522" spans="1:8" x14ac:dyDescent="0.25">
      <c r="A522" s="343">
        <v>278</v>
      </c>
      <c r="B522" s="343">
        <v>49667</v>
      </c>
      <c r="C522" s="342" t="s">
        <v>767</v>
      </c>
      <c r="D522" s="342" t="s">
        <v>895</v>
      </c>
      <c r="E522" s="342" t="s">
        <v>648</v>
      </c>
      <c r="F522" s="342" t="s">
        <v>1331</v>
      </c>
      <c r="G522" s="342" t="s">
        <v>695</v>
      </c>
      <c r="H522" s="342" t="s">
        <v>696</v>
      </c>
    </row>
    <row r="523" spans="1:8" x14ac:dyDescent="0.25">
      <c r="A523" s="343">
        <v>489</v>
      </c>
      <c r="B523" s="343">
        <v>54822</v>
      </c>
      <c r="C523" s="342" t="s">
        <v>767</v>
      </c>
      <c r="D523" s="342" t="s">
        <v>1220</v>
      </c>
      <c r="E523" s="342" t="s">
        <v>385</v>
      </c>
      <c r="F523" s="342" t="s">
        <v>1332</v>
      </c>
      <c r="G523" s="342" t="s">
        <v>695</v>
      </c>
      <c r="H523" s="342" t="s">
        <v>705</v>
      </c>
    </row>
    <row r="524" spans="1:8" x14ac:dyDescent="0.25">
      <c r="A524" s="343">
        <v>992</v>
      </c>
      <c r="B524" s="343">
        <v>19277</v>
      </c>
      <c r="C524" s="342" t="s">
        <v>692</v>
      </c>
      <c r="D524" s="342" t="s">
        <v>693</v>
      </c>
      <c r="E524" s="342" t="s">
        <v>643</v>
      </c>
      <c r="F524" s="342" t="s">
        <v>1333</v>
      </c>
      <c r="G524" s="342" t="s">
        <v>805</v>
      </c>
      <c r="H524" s="342" t="s">
        <v>1334</v>
      </c>
    </row>
    <row r="525" spans="1:8" x14ac:dyDescent="0.25">
      <c r="A525" s="343">
        <v>2</v>
      </c>
      <c r="B525" s="343">
        <v>48543</v>
      </c>
      <c r="C525" s="342" t="s">
        <v>701</v>
      </c>
      <c r="D525" s="342" t="s">
        <v>729</v>
      </c>
      <c r="E525" s="342" t="s">
        <v>352</v>
      </c>
      <c r="F525" s="342" t="s">
        <v>1335</v>
      </c>
      <c r="G525" s="342" t="s">
        <v>695</v>
      </c>
      <c r="H525" s="342" t="s">
        <v>696</v>
      </c>
    </row>
    <row r="526" spans="1:8" x14ac:dyDescent="0.25">
      <c r="A526" s="343">
        <v>5</v>
      </c>
      <c r="B526" s="343">
        <v>308</v>
      </c>
      <c r="C526" s="342" t="s">
        <v>767</v>
      </c>
      <c r="D526" s="342" t="s">
        <v>1220</v>
      </c>
      <c r="E526" s="342" t="s">
        <v>357</v>
      </c>
      <c r="F526" s="342" t="s">
        <v>1336</v>
      </c>
      <c r="G526" s="342" t="s">
        <v>695</v>
      </c>
      <c r="H526" s="342" t="s">
        <v>696</v>
      </c>
    </row>
    <row r="527" spans="1:8" x14ac:dyDescent="0.25">
      <c r="A527" s="343">
        <v>26</v>
      </c>
      <c r="B527" s="343">
        <v>50933</v>
      </c>
      <c r="C527" s="342" t="s">
        <v>767</v>
      </c>
      <c r="D527" s="342" t="s">
        <v>1220</v>
      </c>
      <c r="E527" s="342" t="s">
        <v>385</v>
      </c>
      <c r="F527" s="342" t="s">
        <v>1337</v>
      </c>
      <c r="G527" s="342" t="s">
        <v>695</v>
      </c>
      <c r="H527" s="342" t="s">
        <v>696</v>
      </c>
    </row>
    <row r="528" spans="1:8" x14ac:dyDescent="0.25">
      <c r="A528" s="343">
        <v>268</v>
      </c>
      <c r="B528" s="343">
        <v>48966</v>
      </c>
      <c r="C528" s="342" t="s">
        <v>767</v>
      </c>
      <c r="D528" s="342" t="s">
        <v>953</v>
      </c>
      <c r="E528" s="342" t="s">
        <v>637</v>
      </c>
      <c r="F528" s="342" t="s">
        <v>1338</v>
      </c>
      <c r="G528" s="342" t="s">
        <v>695</v>
      </c>
      <c r="H528" s="342" t="s">
        <v>696</v>
      </c>
    </row>
    <row r="529" spans="1:8" x14ac:dyDescent="0.25">
      <c r="A529" s="343">
        <v>57</v>
      </c>
      <c r="B529" s="343">
        <v>48894</v>
      </c>
      <c r="C529" s="342" t="s">
        <v>767</v>
      </c>
      <c r="D529" s="342" t="s">
        <v>953</v>
      </c>
      <c r="E529" s="342" t="s">
        <v>418</v>
      </c>
      <c r="F529" s="342" t="s">
        <v>1339</v>
      </c>
      <c r="G529" s="342" t="s">
        <v>695</v>
      </c>
      <c r="H529" s="342" t="s">
        <v>696</v>
      </c>
    </row>
    <row r="530" spans="1:8" x14ac:dyDescent="0.25">
      <c r="A530" s="343">
        <v>93</v>
      </c>
      <c r="B530" s="343">
        <v>63820</v>
      </c>
      <c r="C530" s="342" t="s">
        <v>767</v>
      </c>
      <c r="D530" s="342" t="s">
        <v>892</v>
      </c>
      <c r="E530" s="342" t="s">
        <v>457</v>
      </c>
      <c r="F530" s="342" t="s">
        <v>1340</v>
      </c>
      <c r="G530" s="342" t="s">
        <v>695</v>
      </c>
      <c r="H530" s="342" t="s">
        <v>696</v>
      </c>
    </row>
    <row r="531" spans="1:8" x14ac:dyDescent="0.25">
      <c r="A531" s="343">
        <v>167</v>
      </c>
      <c r="B531" s="343">
        <v>64083</v>
      </c>
      <c r="C531" s="342" t="s">
        <v>767</v>
      </c>
      <c r="D531" s="342" t="s">
        <v>953</v>
      </c>
      <c r="E531" s="342" t="s">
        <v>532</v>
      </c>
      <c r="F531" s="342" t="s">
        <v>1341</v>
      </c>
      <c r="G531" s="342" t="s">
        <v>695</v>
      </c>
      <c r="H531" s="342" t="s">
        <v>696</v>
      </c>
    </row>
    <row r="532" spans="1:8" x14ac:dyDescent="0.25">
      <c r="A532" s="343">
        <v>188</v>
      </c>
      <c r="B532" s="343">
        <v>48964</v>
      </c>
      <c r="C532" s="342" t="s">
        <v>832</v>
      </c>
      <c r="D532" s="342" t="s">
        <v>909</v>
      </c>
      <c r="E532" s="342" t="s">
        <v>553</v>
      </c>
      <c r="F532" s="342" t="s">
        <v>1342</v>
      </c>
      <c r="G532" s="342" t="s">
        <v>695</v>
      </c>
      <c r="H532" s="342" t="s">
        <v>696</v>
      </c>
    </row>
    <row r="533" spans="1:8" x14ac:dyDescent="0.25">
      <c r="A533" s="343">
        <v>202</v>
      </c>
      <c r="B533" s="343">
        <v>144</v>
      </c>
      <c r="C533" s="342" t="s">
        <v>767</v>
      </c>
      <c r="D533" s="342" t="s">
        <v>860</v>
      </c>
      <c r="E533" s="342" t="s">
        <v>568</v>
      </c>
      <c r="F533" s="342" t="s">
        <v>1343</v>
      </c>
      <c r="G533" s="342" t="s">
        <v>695</v>
      </c>
      <c r="H533" s="342" t="s">
        <v>696</v>
      </c>
    </row>
    <row r="534" spans="1:8" x14ac:dyDescent="0.25">
      <c r="A534" s="343">
        <v>684</v>
      </c>
      <c r="B534" s="343">
        <v>63866</v>
      </c>
      <c r="C534" s="342" t="s">
        <v>767</v>
      </c>
      <c r="D534" s="342" t="s">
        <v>953</v>
      </c>
      <c r="E534" s="342" t="s">
        <v>418</v>
      </c>
      <c r="F534" s="342" t="s">
        <v>1344</v>
      </c>
      <c r="G534" s="342" t="s">
        <v>695</v>
      </c>
      <c r="H534" s="342" t="s">
        <v>705</v>
      </c>
    </row>
    <row r="535" spans="1:8" x14ac:dyDescent="0.25">
      <c r="A535" s="343">
        <v>1001</v>
      </c>
      <c r="B535" s="343">
        <v>35958</v>
      </c>
      <c r="C535" s="342" t="s">
        <v>832</v>
      </c>
      <c r="D535" s="342" t="s">
        <v>909</v>
      </c>
      <c r="E535" s="342" t="s">
        <v>553</v>
      </c>
      <c r="F535" s="342" t="s">
        <v>1345</v>
      </c>
      <c r="G535" s="342" t="s">
        <v>695</v>
      </c>
      <c r="H535" s="342" t="s">
        <v>748</v>
      </c>
    </row>
    <row r="536" spans="1:8" x14ac:dyDescent="0.25">
      <c r="A536" s="343">
        <v>133</v>
      </c>
      <c r="B536" s="343">
        <v>48681</v>
      </c>
      <c r="C536" s="342" t="s">
        <v>767</v>
      </c>
      <c r="D536" s="342" t="s">
        <v>939</v>
      </c>
      <c r="E536" s="342" t="s">
        <v>497</v>
      </c>
      <c r="F536" s="342" t="s">
        <v>1346</v>
      </c>
      <c r="G536" s="342" t="s">
        <v>695</v>
      </c>
      <c r="H536" s="342" t="s">
        <v>696</v>
      </c>
    </row>
    <row r="537" spans="1:8" x14ac:dyDescent="0.25">
      <c r="A537" s="343">
        <v>267</v>
      </c>
      <c r="B537" s="343">
        <v>51013</v>
      </c>
      <c r="C537" s="342" t="s">
        <v>767</v>
      </c>
      <c r="D537" s="342" t="s">
        <v>892</v>
      </c>
      <c r="E537" s="342" t="s">
        <v>636</v>
      </c>
      <c r="F537" s="342" t="s">
        <v>1347</v>
      </c>
      <c r="G537" s="342" t="s">
        <v>695</v>
      </c>
      <c r="H537" s="342" t="s">
        <v>696</v>
      </c>
    </row>
    <row r="538" spans="1:8" x14ac:dyDescent="0.25">
      <c r="A538" s="343">
        <v>619</v>
      </c>
      <c r="B538" s="343">
        <v>63949</v>
      </c>
      <c r="C538" s="342" t="s">
        <v>767</v>
      </c>
      <c r="D538" s="342" t="s">
        <v>768</v>
      </c>
      <c r="E538" s="342" t="s">
        <v>486</v>
      </c>
      <c r="F538" s="342" t="s">
        <v>1348</v>
      </c>
      <c r="G538" s="342" t="s">
        <v>695</v>
      </c>
      <c r="H538" s="342" t="s">
        <v>734</v>
      </c>
    </row>
    <row r="539" spans="1:8" x14ac:dyDescent="0.25">
      <c r="A539" s="343">
        <v>637</v>
      </c>
      <c r="B539" s="343">
        <v>54837</v>
      </c>
      <c r="C539" s="342" t="s">
        <v>767</v>
      </c>
      <c r="D539" s="342" t="s">
        <v>939</v>
      </c>
      <c r="E539" s="342" t="s">
        <v>497</v>
      </c>
      <c r="F539" s="342" t="s">
        <v>1349</v>
      </c>
      <c r="G539" s="342" t="s">
        <v>695</v>
      </c>
      <c r="H539" s="342" t="s">
        <v>710</v>
      </c>
    </row>
    <row r="540" spans="1:8" x14ac:dyDescent="0.25">
      <c r="A540" s="343">
        <v>781</v>
      </c>
      <c r="B540" s="343">
        <v>46125</v>
      </c>
      <c r="C540" s="342" t="s">
        <v>767</v>
      </c>
      <c r="D540" s="342" t="s">
        <v>768</v>
      </c>
      <c r="E540" s="342" t="s">
        <v>525</v>
      </c>
      <c r="F540" s="342" t="s">
        <v>1350</v>
      </c>
      <c r="G540" s="342" t="s">
        <v>695</v>
      </c>
      <c r="H540" s="342" t="s">
        <v>696</v>
      </c>
    </row>
    <row r="541" spans="1:8" x14ac:dyDescent="0.25">
      <c r="A541" s="343">
        <v>124</v>
      </c>
      <c r="B541" s="343">
        <v>48941</v>
      </c>
      <c r="C541" s="342" t="s">
        <v>767</v>
      </c>
      <c r="D541" s="342" t="s">
        <v>768</v>
      </c>
      <c r="E541" s="342" t="s">
        <v>486</v>
      </c>
      <c r="F541" s="342" t="s">
        <v>1351</v>
      </c>
      <c r="G541" s="342" t="s">
        <v>695</v>
      </c>
      <c r="H541" s="342" t="s">
        <v>696</v>
      </c>
    </row>
    <row r="542" spans="1:8" x14ac:dyDescent="0.25">
      <c r="A542" s="343">
        <v>698</v>
      </c>
      <c r="B542" s="343">
        <v>64148</v>
      </c>
      <c r="C542" s="342" t="s">
        <v>767</v>
      </c>
      <c r="D542" s="342" t="s">
        <v>768</v>
      </c>
      <c r="E542" s="342" t="s">
        <v>486</v>
      </c>
      <c r="F542" s="342" t="s">
        <v>1352</v>
      </c>
      <c r="G542" s="342" t="s">
        <v>695</v>
      </c>
      <c r="H542" s="342" t="s">
        <v>726</v>
      </c>
    </row>
    <row r="543" spans="1:8" x14ac:dyDescent="0.25">
      <c r="A543" s="343">
        <v>7</v>
      </c>
      <c r="B543" s="343">
        <v>310</v>
      </c>
      <c r="C543" s="342" t="s">
        <v>767</v>
      </c>
      <c r="D543" s="342" t="s">
        <v>768</v>
      </c>
      <c r="E543" s="342" t="s">
        <v>359</v>
      </c>
      <c r="F543" s="342" t="s">
        <v>1353</v>
      </c>
      <c r="G543" s="342" t="s">
        <v>695</v>
      </c>
      <c r="H543" s="342" t="s">
        <v>696</v>
      </c>
    </row>
    <row r="544" spans="1:8" x14ac:dyDescent="0.25">
      <c r="A544" s="343">
        <v>36</v>
      </c>
      <c r="B544" s="343">
        <v>63841</v>
      </c>
      <c r="C544" s="342" t="s">
        <v>767</v>
      </c>
      <c r="D544" s="342" t="s">
        <v>1220</v>
      </c>
      <c r="E544" s="342" t="s">
        <v>396</v>
      </c>
      <c r="F544" s="342" t="s">
        <v>1354</v>
      </c>
      <c r="G544" s="342" t="s">
        <v>695</v>
      </c>
      <c r="H544" s="342" t="s">
        <v>696</v>
      </c>
    </row>
    <row r="545" spans="1:8" x14ac:dyDescent="0.25">
      <c r="A545" s="343">
        <v>107</v>
      </c>
      <c r="B545" s="343">
        <v>48940</v>
      </c>
      <c r="C545" s="342" t="s">
        <v>767</v>
      </c>
      <c r="D545" s="342" t="s">
        <v>892</v>
      </c>
      <c r="E545" s="342" t="s">
        <v>470</v>
      </c>
      <c r="F545" s="342" t="s">
        <v>1355</v>
      </c>
      <c r="G545" s="342" t="s">
        <v>695</v>
      </c>
      <c r="H545" s="342" t="s">
        <v>696</v>
      </c>
    </row>
    <row r="546" spans="1:8" x14ac:dyDescent="0.25">
      <c r="A546" s="343">
        <v>176</v>
      </c>
      <c r="B546" s="343">
        <v>64034</v>
      </c>
      <c r="C546" s="342" t="s">
        <v>701</v>
      </c>
      <c r="D546" s="342" t="s">
        <v>711</v>
      </c>
      <c r="E546" s="342" t="s">
        <v>540</v>
      </c>
      <c r="F546" s="342" t="s">
        <v>1356</v>
      </c>
      <c r="G546" s="342" t="s">
        <v>695</v>
      </c>
      <c r="H546" s="342" t="s">
        <v>696</v>
      </c>
    </row>
    <row r="547" spans="1:8" x14ac:dyDescent="0.25">
      <c r="A547" s="343">
        <v>829</v>
      </c>
      <c r="B547" s="343">
        <v>2</v>
      </c>
      <c r="C547" s="342" t="s">
        <v>789</v>
      </c>
      <c r="D547" s="342" t="s">
        <v>790</v>
      </c>
      <c r="E547" s="342" t="s">
        <v>603</v>
      </c>
      <c r="F547" s="342" t="s">
        <v>1357</v>
      </c>
      <c r="G547" s="342" t="s">
        <v>695</v>
      </c>
      <c r="H547" s="342" t="s">
        <v>856</v>
      </c>
    </row>
    <row r="548" spans="1:8" x14ac:dyDescent="0.25">
      <c r="A548" s="343">
        <v>121</v>
      </c>
      <c r="B548" s="343">
        <v>221</v>
      </c>
      <c r="C548" s="342" t="s">
        <v>740</v>
      </c>
      <c r="D548" s="342" t="s">
        <v>963</v>
      </c>
      <c r="E548" s="342" t="s">
        <v>483</v>
      </c>
      <c r="F548" s="342" t="s">
        <v>1358</v>
      </c>
      <c r="G548" s="342" t="s">
        <v>695</v>
      </c>
      <c r="H548" s="342" t="s">
        <v>696</v>
      </c>
    </row>
    <row r="549" spans="1:8" x14ac:dyDescent="0.25">
      <c r="A549" s="343">
        <v>234</v>
      </c>
      <c r="B549" s="343">
        <v>48665</v>
      </c>
      <c r="C549" s="342" t="s">
        <v>789</v>
      </c>
      <c r="D549" s="342" t="s">
        <v>790</v>
      </c>
      <c r="E549" s="342" t="s">
        <v>603</v>
      </c>
      <c r="F549" s="342" t="s">
        <v>1359</v>
      </c>
      <c r="G549" s="342" t="s">
        <v>695</v>
      </c>
      <c r="H549" s="342" t="s">
        <v>696</v>
      </c>
    </row>
    <row r="550" spans="1:8" x14ac:dyDescent="0.25">
      <c r="A550" s="343">
        <v>281</v>
      </c>
      <c r="B550" s="343">
        <v>48917</v>
      </c>
      <c r="C550" s="342" t="s">
        <v>767</v>
      </c>
      <c r="D550" s="342" t="s">
        <v>895</v>
      </c>
      <c r="E550" s="342" t="s">
        <v>651</v>
      </c>
      <c r="F550" s="342" t="s">
        <v>1360</v>
      </c>
      <c r="G550" s="342" t="s">
        <v>695</v>
      </c>
      <c r="H550" s="342" t="s">
        <v>696</v>
      </c>
    </row>
    <row r="551" spans="1:8" x14ac:dyDescent="0.25">
      <c r="A551" s="343">
        <v>695</v>
      </c>
      <c r="B551" s="343">
        <v>64023</v>
      </c>
      <c r="C551" s="342" t="s">
        <v>692</v>
      </c>
      <c r="D551" s="342" t="s">
        <v>865</v>
      </c>
      <c r="E551" s="342" t="s">
        <v>481</v>
      </c>
      <c r="F551" s="342" t="s">
        <v>1361</v>
      </c>
      <c r="G551" s="342" t="s">
        <v>695</v>
      </c>
      <c r="H551" s="342" t="s">
        <v>726</v>
      </c>
    </row>
    <row r="552" spans="1:8" x14ac:dyDescent="0.25">
      <c r="A552" s="343">
        <v>1012</v>
      </c>
      <c r="B552" s="343">
        <v>67903</v>
      </c>
      <c r="C552" s="342" t="s">
        <v>789</v>
      </c>
      <c r="D552" s="342" t="s">
        <v>913</v>
      </c>
      <c r="E552" s="342" t="s">
        <v>415</v>
      </c>
      <c r="F552" s="342" t="s">
        <v>1362</v>
      </c>
      <c r="G552" s="342" t="s">
        <v>695</v>
      </c>
      <c r="H552" s="342" t="s">
        <v>800</v>
      </c>
    </row>
    <row r="553" spans="1:8" x14ac:dyDescent="0.25">
      <c r="A553" s="343">
        <v>289</v>
      </c>
      <c r="B553" s="343">
        <v>48919</v>
      </c>
      <c r="C553" s="342" t="s">
        <v>767</v>
      </c>
      <c r="D553" s="342" t="s">
        <v>953</v>
      </c>
      <c r="E553" s="342" t="s">
        <v>659</v>
      </c>
      <c r="F553" s="342" t="s">
        <v>1363</v>
      </c>
      <c r="G553" s="342" t="s">
        <v>695</v>
      </c>
      <c r="H553" s="342" t="s">
        <v>696</v>
      </c>
    </row>
    <row r="554" spans="1:8" x14ac:dyDescent="0.25">
      <c r="A554" s="343">
        <v>762</v>
      </c>
      <c r="B554" s="343">
        <v>64242</v>
      </c>
      <c r="C554" s="342" t="s">
        <v>767</v>
      </c>
      <c r="D554" s="342" t="s">
        <v>953</v>
      </c>
      <c r="E554" s="342" t="s">
        <v>621</v>
      </c>
      <c r="F554" s="342" t="s">
        <v>1364</v>
      </c>
      <c r="G554" s="342" t="s">
        <v>695</v>
      </c>
      <c r="H554" s="342" t="s">
        <v>726</v>
      </c>
    </row>
    <row r="555" spans="1:8" x14ac:dyDescent="0.25">
      <c r="A555" s="343">
        <v>91</v>
      </c>
      <c r="B555" s="343">
        <v>49653</v>
      </c>
      <c r="C555" s="342" t="s">
        <v>779</v>
      </c>
      <c r="D555" s="342" t="s">
        <v>1024</v>
      </c>
      <c r="E555" s="342" t="s">
        <v>455</v>
      </c>
      <c r="F555" s="342" t="s">
        <v>1365</v>
      </c>
      <c r="G555" s="342" t="s">
        <v>695</v>
      </c>
      <c r="H555" s="342" t="s">
        <v>696</v>
      </c>
    </row>
    <row r="556" spans="1:8" x14ac:dyDescent="0.25">
      <c r="A556" s="343">
        <v>95</v>
      </c>
      <c r="B556" s="343">
        <v>63901</v>
      </c>
      <c r="C556" s="342" t="s">
        <v>692</v>
      </c>
      <c r="D556" s="342" t="s">
        <v>803</v>
      </c>
      <c r="E556" s="342" t="s">
        <v>459</v>
      </c>
      <c r="F556" s="342" t="s">
        <v>1366</v>
      </c>
      <c r="G556" s="342" t="s">
        <v>695</v>
      </c>
      <c r="H556" s="342" t="s">
        <v>696</v>
      </c>
    </row>
    <row r="557" spans="1:8" x14ac:dyDescent="0.25">
      <c r="A557" s="343">
        <v>235</v>
      </c>
      <c r="B557" s="343">
        <v>152</v>
      </c>
      <c r="C557" s="342" t="s">
        <v>697</v>
      </c>
      <c r="D557" s="342" t="s">
        <v>698</v>
      </c>
      <c r="E557" s="342" t="s">
        <v>604</v>
      </c>
      <c r="F557" s="342" t="s">
        <v>1367</v>
      </c>
      <c r="G557" s="342" t="s">
        <v>695</v>
      </c>
      <c r="H557" s="342" t="s">
        <v>696</v>
      </c>
    </row>
    <row r="558" spans="1:8" x14ac:dyDescent="0.25">
      <c r="A558" s="343">
        <v>500</v>
      </c>
      <c r="B558" s="343">
        <v>64236</v>
      </c>
      <c r="C558" s="342" t="s">
        <v>697</v>
      </c>
      <c r="D558" s="342" t="s">
        <v>698</v>
      </c>
      <c r="E558" s="342" t="s">
        <v>604</v>
      </c>
      <c r="F558" s="342" t="s">
        <v>1368</v>
      </c>
      <c r="G558" s="342" t="s">
        <v>695</v>
      </c>
      <c r="H558" s="342" t="s">
        <v>705</v>
      </c>
    </row>
    <row r="559" spans="1:8" x14ac:dyDescent="0.25">
      <c r="A559" s="343">
        <v>680</v>
      </c>
      <c r="B559" s="343">
        <v>63838</v>
      </c>
      <c r="C559" s="342" t="s">
        <v>701</v>
      </c>
      <c r="D559" s="342" t="s">
        <v>724</v>
      </c>
      <c r="E559" s="342" t="s">
        <v>395</v>
      </c>
      <c r="F559" s="342" t="s">
        <v>1369</v>
      </c>
      <c r="G559" s="342" t="s">
        <v>805</v>
      </c>
      <c r="H559" s="342" t="s">
        <v>806</v>
      </c>
    </row>
    <row r="560" spans="1:8" x14ac:dyDescent="0.25">
      <c r="A560" s="343">
        <v>456</v>
      </c>
      <c r="B560" s="343">
        <v>64347</v>
      </c>
      <c r="C560" s="342" t="s">
        <v>692</v>
      </c>
      <c r="D560" s="342" t="s">
        <v>693</v>
      </c>
      <c r="E560" s="342" t="s">
        <v>643</v>
      </c>
      <c r="F560" s="342" t="s">
        <v>1370</v>
      </c>
      <c r="G560" s="342" t="s">
        <v>695</v>
      </c>
      <c r="H560" s="342" t="s">
        <v>1371</v>
      </c>
    </row>
    <row r="561" spans="1:8" x14ac:dyDescent="0.25">
      <c r="A561" s="343">
        <v>104</v>
      </c>
      <c r="B561" s="343">
        <v>48939</v>
      </c>
      <c r="C561" s="342" t="s">
        <v>767</v>
      </c>
      <c r="D561" s="342" t="s">
        <v>768</v>
      </c>
      <c r="E561" s="342" t="s">
        <v>467</v>
      </c>
      <c r="F561" s="342" t="s">
        <v>1372</v>
      </c>
      <c r="G561" s="342" t="s">
        <v>695</v>
      </c>
      <c r="H561" s="342" t="s">
        <v>696</v>
      </c>
    </row>
    <row r="562" spans="1:8" x14ac:dyDescent="0.25">
      <c r="A562" s="343">
        <v>357</v>
      </c>
      <c r="B562" s="343">
        <v>138</v>
      </c>
      <c r="C562" s="342" t="s">
        <v>789</v>
      </c>
      <c r="D562" s="342" t="s">
        <v>818</v>
      </c>
      <c r="E562" s="342" t="s">
        <v>576</v>
      </c>
      <c r="F562" s="342" t="s">
        <v>1373</v>
      </c>
      <c r="G562" s="342" t="s">
        <v>695</v>
      </c>
      <c r="H562" s="342" t="s">
        <v>726</v>
      </c>
    </row>
    <row r="563" spans="1:8" x14ac:dyDescent="0.25">
      <c r="A563" s="343">
        <v>968</v>
      </c>
      <c r="B563" s="343">
        <v>67663</v>
      </c>
      <c r="C563" s="342" t="s">
        <v>789</v>
      </c>
      <c r="D563" s="342" t="s">
        <v>947</v>
      </c>
      <c r="E563" s="342" t="s">
        <v>561</v>
      </c>
      <c r="F563" s="342" t="s">
        <v>1374</v>
      </c>
      <c r="G563" s="342" t="s">
        <v>695</v>
      </c>
      <c r="H563" s="342" t="s">
        <v>1017</v>
      </c>
    </row>
    <row r="564" spans="1:8" x14ac:dyDescent="0.25">
      <c r="A564" s="343">
        <v>131</v>
      </c>
      <c r="B564" s="343">
        <v>219</v>
      </c>
      <c r="C564" s="342" t="s">
        <v>740</v>
      </c>
      <c r="D564" s="342" t="s">
        <v>920</v>
      </c>
      <c r="E564" s="342" t="s">
        <v>494</v>
      </c>
      <c r="F564" s="342" t="s">
        <v>1375</v>
      </c>
      <c r="G564" s="342" t="s">
        <v>695</v>
      </c>
      <c r="H564" s="342" t="s">
        <v>696</v>
      </c>
    </row>
    <row r="565" spans="1:8" x14ac:dyDescent="0.25">
      <c r="A565" s="343">
        <v>686</v>
      </c>
      <c r="B565" s="343">
        <v>63876</v>
      </c>
      <c r="C565" s="342" t="s">
        <v>697</v>
      </c>
      <c r="D565" s="342" t="s">
        <v>772</v>
      </c>
      <c r="E565" s="342" t="s">
        <v>438</v>
      </c>
      <c r="F565" s="342" t="s">
        <v>1376</v>
      </c>
      <c r="G565" s="342" t="s">
        <v>805</v>
      </c>
      <c r="H565" s="342" t="s">
        <v>806</v>
      </c>
    </row>
    <row r="566" spans="1:8" x14ac:dyDescent="0.25">
      <c r="A566" s="343">
        <v>886</v>
      </c>
      <c r="B566" s="343">
        <v>67173</v>
      </c>
      <c r="C566" s="342" t="s">
        <v>740</v>
      </c>
      <c r="D566" s="342" t="s">
        <v>765</v>
      </c>
      <c r="E566" s="342" t="s">
        <v>663</v>
      </c>
      <c r="F566" s="342" t="s">
        <v>1377</v>
      </c>
      <c r="G566" s="342" t="s">
        <v>805</v>
      </c>
      <c r="H566" s="342" t="s">
        <v>883</v>
      </c>
    </row>
    <row r="567" spans="1:8" x14ac:dyDescent="0.25">
      <c r="A567" s="343">
        <v>948</v>
      </c>
      <c r="B567" s="343">
        <v>67847</v>
      </c>
      <c r="C567" s="342" t="s">
        <v>701</v>
      </c>
      <c r="D567" s="342" t="s">
        <v>749</v>
      </c>
      <c r="E567" s="342" t="s">
        <v>408</v>
      </c>
      <c r="F567" s="342" t="s">
        <v>1378</v>
      </c>
      <c r="G567" s="342" t="s">
        <v>805</v>
      </c>
      <c r="H567" s="342" t="s">
        <v>806</v>
      </c>
    </row>
    <row r="568" spans="1:8" x14ac:dyDescent="0.25">
      <c r="A568" s="343">
        <v>1016</v>
      </c>
      <c r="B568" s="343">
        <v>67847</v>
      </c>
      <c r="C568" s="342" t="s">
        <v>701</v>
      </c>
      <c r="D568" s="342" t="s">
        <v>749</v>
      </c>
      <c r="E568" s="342" t="s">
        <v>408</v>
      </c>
      <c r="F568" s="342" t="s">
        <v>1379</v>
      </c>
      <c r="G568" s="342" t="s">
        <v>805</v>
      </c>
      <c r="H568" s="342" t="s">
        <v>806</v>
      </c>
    </row>
    <row r="569" spans="1:8" x14ac:dyDescent="0.25">
      <c r="A569" s="343">
        <v>782</v>
      </c>
      <c r="B569" s="343">
        <v>63982</v>
      </c>
      <c r="C569" s="342" t="s">
        <v>701</v>
      </c>
      <c r="D569" s="342" t="s">
        <v>702</v>
      </c>
      <c r="E569" s="342" t="s">
        <v>511</v>
      </c>
      <c r="F569" s="342" t="s">
        <v>1380</v>
      </c>
      <c r="G569" s="342" t="s">
        <v>695</v>
      </c>
      <c r="H569" s="342" t="s">
        <v>726</v>
      </c>
    </row>
    <row r="570" spans="1:8" x14ac:dyDescent="0.25">
      <c r="A570" s="343">
        <v>873</v>
      </c>
      <c r="B570" s="343">
        <v>67167</v>
      </c>
      <c r="C570" s="342" t="s">
        <v>701</v>
      </c>
      <c r="D570" s="342" t="s">
        <v>702</v>
      </c>
      <c r="E570" s="342" t="s">
        <v>511</v>
      </c>
      <c r="F570" s="342" t="s">
        <v>1381</v>
      </c>
      <c r="G570" s="342" t="s">
        <v>805</v>
      </c>
      <c r="H570" s="342" t="s">
        <v>806</v>
      </c>
    </row>
    <row r="571" spans="1:8" x14ac:dyDescent="0.25">
      <c r="A571" s="343">
        <v>898</v>
      </c>
      <c r="B571" s="343">
        <v>66275</v>
      </c>
      <c r="C571" s="342" t="s">
        <v>701</v>
      </c>
      <c r="D571" s="342" t="s">
        <v>749</v>
      </c>
      <c r="E571" s="342" t="s">
        <v>408</v>
      </c>
      <c r="F571" s="342" t="s">
        <v>1382</v>
      </c>
      <c r="G571" s="342" t="s">
        <v>805</v>
      </c>
      <c r="H571" s="342" t="s">
        <v>806</v>
      </c>
    </row>
    <row r="572" spans="1:8" x14ac:dyDescent="0.25">
      <c r="A572" s="343">
        <v>56</v>
      </c>
      <c r="B572" s="343">
        <v>45779</v>
      </c>
      <c r="C572" s="342" t="s">
        <v>706</v>
      </c>
      <c r="D572" s="342" t="s">
        <v>1166</v>
      </c>
      <c r="E572" s="342" t="s">
        <v>417</v>
      </c>
      <c r="F572" s="342" t="s">
        <v>1383</v>
      </c>
      <c r="G572" s="342" t="s">
        <v>695</v>
      </c>
      <c r="H572" s="342" t="s">
        <v>696</v>
      </c>
    </row>
    <row r="573" spans="1:8" x14ac:dyDescent="0.25">
      <c r="A573" s="343">
        <v>69</v>
      </c>
      <c r="B573" s="343">
        <v>63877</v>
      </c>
      <c r="C573" s="342" t="s">
        <v>789</v>
      </c>
      <c r="D573" s="342" t="s">
        <v>790</v>
      </c>
      <c r="E573" s="342" t="s">
        <v>432</v>
      </c>
      <c r="F573" s="342" t="s">
        <v>1384</v>
      </c>
      <c r="G573" s="342" t="s">
        <v>695</v>
      </c>
      <c r="H573" s="342" t="s">
        <v>696</v>
      </c>
    </row>
    <row r="574" spans="1:8" x14ac:dyDescent="0.25">
      <c r="A574" s="343">
        <v>87</v>
      </c>
      <c r="B574" s="343">
        <v>236</v>
      </c>
      <c r="C574" s="342" t="s">
        <v>701</v>
      </c>
      <c r="D574" s="342" t="s">
        <v>727</v>
      </c>
      <c r="E574" s="342" t="s">
        <v>451</v>
      </c>
      <c r="F574" s="342" t="s">
        <v>1385</v>
      </c>
      <c r="G574" s="342" t="s">
        <v>695</v>
      </c>
      <c r="H574" s="342" t="s">
        <v>696</v>
      </c>
    </row>
    <row r="575" spans="1:8" x14ac:dyDescent="0.25">
      <c r="A575" s="343">
        <v>226</v>
      </c>
      <c r="B575" s="343">
        <v>51963</v>
      </c>
      <c r="C575" s="342" t="s">
        <v>706</v>
      </c>
      <c r="D575" s="342" t="s">
        <v>720</v>
      </c>
      <c r="E575" s="342" t="s">
        <v>594</v>
      </c>
      <c r="F575" s="342" t="s">
        <v>1386</v>
      </c>
      <c r="G575" s="342" t="s">
        <v>695</v>
      </c>
      <c r="H575" s="342" t="s">
        <v>696</v>
      </c>
    </row>
    <row r="576" spans="1:8" x14ac:dyDescent="0.25">
      <c r="A576" s="343">
        <v>911</v>
      </c>
      <c r="B576" s="343">
        <v>66191</v>
      </c>
      <c r="C576" s="342" t="s">
        <v>789</v>
      </c>
      <c r="D576" s="342" t="s">
        <v>790</v>
      </c>
      <c r="E576" s="342" t="s">
        <v>432</v>
      </c>
      <c r="F576" s="342" t="s">
        <v>1387</v>
      </c>
      <c r="G576" s="342" t="s">
        <v>695</v>
      </c>
      <c r="H576" s="342" t="s">
        <v>726</v>
      </c>
    </row>
    <row r="577" spans="1:8" x14ac:dyDescent="0.25">
      <c r="A577" s="343">
        <v>915</v>
      </c>
      <c r="B577" s="343">
        <v>66192</v>
      </c>
      <c r="C577" s="342" t="s">
        <v>789</v>
      </c>
      <c r="D577" s="342" t="s">
        <v>790</v>
      </c>
      <c r="E577" s="342" t="s">
        <v>432</v>
      </c>
      <c r="F577" s="342" t="s">
        <v>1388</v>
      </c>
      <c r="G577" s="342" t="s">
        <v>805</v>
      </c>
      <c r="H577" s="342" t="s">
        <v>1389</v>
      </c>
    </row>
    <row r="578" spans="1:8" x14ac:dyDescent="0.25">
      <c r="A578" s="343">
        <v>20</v>
      </c>
      <c r="B578" s="343">
        <v>61</v>
      </c>
      <c r="C578" s="342" t="s">
        <v>789</v>
      </c>
      <c r="D578" s="342" t="s">
        <v>790</v>
      </c>
      <c r="E578" s="342" t="s">
        <v>378</v>
      </c>
      <c r="F578" s="342" t="s">
        <v>1390</v>
      </c>
      <c r="G578" s="342" t="s">
        <v>695</v>
      </c>
      <c r="H578" s="342" t="s">
        <v>696</v>
      </c>
    </row>
    <row r="579" spans="1:8" x14ac:dyDescent="0.25">
      <c r="A579" s="343">
        <v>35</v>
      </c>
      <c r="B579" s="343">
        <v>155</v>
      </c>
      <c r="C579" s="342" t="s">
        <v>701</v>
      </c>
      <c r="D579" s="342" t="s">
        <v>724</v>
      </c>
      <c r="E579" s="342" t="s">
        <v>395</v>
      </c>
      <c r="F579" s="342" t="s">
        <v>1391</v>
      </c>
      <c r="G579" s="342" t="s">
        <v>695</v>
      </c>
      <c r="H579" s="342" t="s">
        <v>696</v>
      </c>
    </row>
    <row r="580" spans="1:8" x14ac:dyDescent="0.25">
      <c r="A580" s="343">
        <v>67</v>
      </c>
      <c r="B580" s="343">
        <v>241</v>
      </c>
      <c r="C580" s="342" t="s">
        <v>692</v>
      </c>
      <c r="D580" s="342" t="s">
        <v>865</v>
      </c>
      <c r="E580" s="342" t="s">
        <v>430</v>
      </c>
      <c r="F580" s="342" t="s">
        <v>1392</v>
      </c>
      <c r="G580" s="342" t="s">
        <v>695</v>
      </c>
      <c r="H580" s="342" t="s">
        <v>696</v>
      </c>
    </row>
    <row r="581" spans="1:8" x14ac:dyDescent="0.25">
      <c r="A581" s="343">
        <v>127</v>
      </c>
      <c r="B581" s="343">
        <v>11532</v>
      </c>
      <c r="C581" s="342" t="s">
        <v>822</v>
      </c>
      <c r="D581" s="342" t="s">
        <v>1003</v>
      </c>
      <c r="E581" s="342" t="s">
        <v>490</v>
      </c>
      <c r="F581" s="342" t="s">
        <v>1393</v>
      </c>
      <c r="G581" s="342" t="s">
        <v>695</v>
      </c>
      <c r="H581" s="342" t="s">
        <v>696</v>
      </c>
    </row>
    <row r="582" spans="1:8" x14ac:dyDescent="0.25">
      <c r="A582" s="343">
        <v>363</v>
      </c>
      <c r="B582" s="343">
        <v>64022</v>
      </c>
      <c r="C582" s="342" t="s">
        <v>740</v>
      </c>
      <c r="D582" s="342" t="s">
        <v>920</v>
      </c>
      <c r="E582" s="342" t="s">
        <v>617</v>
      </c>
      <c r="F582" s="342" t="s">
        <v>1394</v>
      </c>
      <c r="G582" s="342" t="s">
        <v>695</v>
      </c>
      <c r="H582" s="342" t="s">
        <v>696</v>
      </c>
    </row>
    <row r="583" spans="1:8" x14ac:dyDescent="0.25">
      <c r="A583" s="343">
        <v>404</v>
      </c>
      <c r="B583" s="343">
        <v>67349</v>
      </c>
      <c r="C583" s="342" t="s">
        <v>692</v>
      </c>
      <c r="D583" s="342" t="s">
        <v>722</v>
      </c>
      <c r="E583" s="342" t="s">
        <v>551</v>
      </c>
      <c r="F583" s="342" t="s">
        <v>1395</v>
      </c>
      <c r="G583" s="342" t="s">
        <v>805</v>
      </c>
      <c r="H583" s="342" t="s">
        <v>883</v>
      </c>
    </row>
    <row r="584" spans="1:8" x14ac:dyDescent="0.25">
      <c r="A584" s="343">
        <v>763</v>
      </c>
      <c r="B584" s="343">
        <v>64291</v>
      </c>
      <c r="C584" s="342" t="s">
        <v>822</v>
      </c>
      <c r="D584" s="342" t="s">
        <v>823</v>
      </c>
      <c r="E584" s="342" t="s">
        <v>630</v>
      </c>
      <c r="F584" s="342" t="s">
        <v>1396</v>
      </c>
      <c r="G584" s="342" t="s">
        <v>695</v>
      </c>
      <c r="H584" s="342" t="s">
        <v>880</v>
      </c>
    </row>
    <row r="585" spans="1:8" x14ac:dyDescent="0.25">
      <c r="A585" s="343">
        <v>959</v>
      </c>
      <c r="B585" s="343">
        <v>13842</v>
      </c>
      <c r="C585" s="342" t="s">
        <v>706</v>
      </c>
      <c r="D585" s="342" t="s">
        <v>707</v>
      </c>
      <c r="E585" s="342" t="s">
        <v>454</v>
      </c>
      <c r="F585" s="342" t="s">
        <v>1397</v>
      </c>
      <c r="G585" s="342" t="s">
        <v>805</v>
      </c>
      <c r="H585" s="342" t="s">
        <v>813</v>
      </c>
    </row>
    <row r="586" spans="1:8" x14ac:dyDescent="0.25">
      <c r="A586" s="343">
        <v>998</v>
      </c>
      <c r="B586" s="343">
        <v>13626</v>
      </c>
      <c r="C586" s="342" t="s">
        <v>767</v>
      </c>
      <c r="D586" s="342" t="s">
        <v>895</v>
      </c>
      <c r="E586" s="342" t="s">
        <v>652</v>
      </c>
      <c r="F586" s="342" t="s">
        <v>1398</v>
      </c>
      <c r="G586" s="342" t="s">
        <v>805</v>
      </c>
      <c r="H586" s="342" t="s">
        <v>813</v>
      </c>
    </row>
    <row r="587" spans="1:8" x14ac:dyDescent="0.25">
      <c r="A587" s="343">
        <v>3</v>
      </c>
      <c r="B587" s="343">
        <v>307</v>
      </c>
      <c r="C587" s="342" t="s">
        <v>701</v>
      </c>
      <c r="D587" s="342" t="s">
        <v>718</v>
      </c>
      <c r="E587" s="342" t="s">
        <v>353</v>
      </c>
      <c r="F587" s="342" t="s">
        <v>1399</v>
      </c>
      <c r="G587" s="342" t="s">
        <v>695</v>
      </c>
      <c r="H587" s="342" t="s">
        <v>696</v>
      </c>
    </row>
    <row r="588" spans="1:8" x14ac:dyDescent="0.25">
      <c r="A588" s="343">
        <v>39</v>
      </c>
      <c r="B588" s="343">
        <v>63842</v>
      </c>
      <c r="C588" s="342" t="s">
        <v>740</v>
      </c>
      <c r="D588" s="342" t="s">
        <v>920</v>
      </c>
      <c r="E588" s="342" t="s">
        <v>400</v>
      </c>
      <c r="F588" s="342" t="s">
        <v>1400</v>
      </c>
      <c r="G588" s="342" t="s">
        <v>695</v>
      </c>
      <c r="H588" s="342" t="s">
        <v>696</v>
      </c>
    </row>
    <row r="589" spans="1:8" x14ac:dyDescent="0.25">
      <c r="A589" s="343">
        <v>137</v>
      </c>
      <c r="B589" s="343">
        <v>48683</v>
      </c>
      <c r="C589" s="342" t="s">
        <v>779</v>
      </c>
      <c r="D589" s="342" t="s">
        <v>956</v>
      </c>
      <c r="E589" s="342" t="s">
        <v>501</v>
      </c>
      <c r="F589" s="342" t="s">
        <v>1401</v>
      </c>
      <c r="G589" s="342" t="s">
        <v>695</v>
      </c>
      <c r="H589" s="342" t="s">
        <v>696</v>
      </c>
    </row>
    <row r="590" spans="1:8" x14ac:dyDescent="0.25">
      <c r="A590" s="343">
        <v>178</v>
      </c>
      <c r="B590" s="343">
        <v>64012</v>
      </c>
      <c r="C590" s="342" t="s">
        <v>706</v>
      </c>
      <c r="D590" s="342" t="s">
        <v>720</v>
      </c>
      <c r="E590" s="342" t="s">
        <v>543</v>
      </c>
      <c r="F590" s="342" t="s">
        <v>1402</v>
      </c>
      <c r="G590" s="342" t="s">
        <v>695</v>
      </c>
      <c r="H590" s="342" t="s">
        <v>696</v>
      </c>
    </row>
    <row r="591" spans="1:8" x14ac:dyDescent="0.25">
      <c r="A591" s="343">
        <v>186</v>
      </c>
      <c r="B591" s="343">
        <v>244</v>
      </c>
      <c r="C591" s="342" t="s">
        <v>692</v>
      </c>
      <c r="D591" s="342" t="s">
        <v>722</v>
      </c>
      <c r="E591" s="342" t="s">
        <v>551</v>
      </c>
      <c r="F591" s="342" t="s">
        <v>1403</v>
      </c>
      <c r="G591" s="342" t="s">
        <v>695</v>
      </c>
      <c r="H591" s="342" t="s">
        <v>696</v>
      </c>
    </row>
    <row r="592" spans="1:8" x14ac:dyDescent="0.25">
      <c r="A592" s="343">
        <v>201</v>
      </c>
      <c r="B592" s="343">
        <v>48951</v>
      </c>
      <c r="C592" s="342" t="s">
        <v>832</v>
      </c>
      <c r="D592" s="342" t="s">
        <v>897</v>
      </c>
      <c r="E592" s="342" t="s">
        <v>567</v>
      </c>
      <c r="F592" s="342" t="s">
        <v>1404</v>
      </c>
      <c r="G592" s="342" t="s">
        <v>695</v>
      </c>
      <c r="H592" s="342" t="s">
        <v>696</v>
      </c>
    </row>
    <row r="593" spans="1:8" x14ac:dyDescent="0.25">
      <c r="A593" s="343">
        <v>221</v>
      </c>
      <c r="B593" s="343">
        <v>272</v>
      </c>
      <c r="C593" s="342" t="s">
        <v>697</v>
      </c>
      <c r="D593" s="342" t="s">
        <v>774</v>
      </c>
      <c r="E593" s="342" t="s">
        <v>589</v>
      </c>
      <c r="F593" s="342" t="s">
        <v>1405</v>
      </c>
      <c r="G593" s="342" t="s">
        <v>695</v>
      </c>
      <c r="H593" s="342" t="s">
        <v>696</v>
      </c>
    </row>
    <row r="594" spans="1:8" x14ac:dyDescent="0.25">
      <c r="A594" s="343">
        <v>344</v>
      </c>
      <c r="B594" s="343">
        <v>64299</v>
      </c>
      <c r="C594" s="342" t="s">
        <v>740</v>
      </c>
      <c r="D594" s="342" t="s">
        <v>741</v>
      </c>
      <c r="E594" s="342" t="s">
        <v>616</v>
      </c>
      <c r="F594" s="342" t="s">
        <v>1406</v>
      </c>
      <c r="G594" s="342" t="s">
        <v>695</v>
      </c>
      <c r="H594" s="342" t="s">
        <v>734</v>
      </c>
    </row>
    <row r="595" spans="1:8" x14ac:dyDescent="0.25">
      <c r="A595" s="343">
        <v>370</v>
      </c>
      <c r="B595" s="343">
        <v>63957</v>
      </c>
      <c r="C595" s="342" t="s">
        <v>692</v>
      </c>
      <c r="D595" s="342" t="s">
        <v>803</v>
      </c>
      <c r="E595" s="342" t="s">
        <v>488</v>
      </c>
      <c r="F595" s="342" t="s">
        <v>1407</v>
      </c>
      <c r="G595" s="342" t="s">
        <v>695</v>
      </c>
      <c r="H595" s="342" t="s">
        <v>696</v>
      </c>
    </row>
    <row r="596" spans="1:8" x14ac:dyDescent="0.25">
      <c r="A596" s="343">
        <v>403</v>
      </c>
      <c r="B596" s="343">
        <v>67350</v>
      </c>
      <c r="C596" s="342" t="s">
        <v>692</v>
      </c>
      <c r="D596" s="342" t="s">
        <v>722</v>
      </c>
      <c r="E596" s="342" t="s">
        <v>551</v>
      </c>
      <c r="F596" s="342" t="s">
        <v>1408</v>
      </c>
      <c r="G596" s="342" t="s">
        <v>695</v>
      </c>
      <c r="H596" s="342" t="s">
        <v>1409</v>
      </c>
    </row>
    <row r="597" spans="1:8" x14ac:dyDescent="0.25">
      <c r="A597" s="343">
        <v>415</v>
      </c>
      <c r="B597" s="343">
        <v>63754</v>
      </c>
      <c r="C597" s="342" t="s">
        <v>701</v>
      </c>
      <c r="D597" s="342" t="s">
        <v>718</v>
      </c>
      <c r="E597" s="342" t="s">
        <v>353</v>
      </c>
      <c r="F597" s="342" t="s">
        <v>1410</v>
      </c>
      <c r="G597" s="342" t="s">
        <v>695</v>
      </c>
      <c r="H597" s="342" t="s">
        <v>705</v>
      </c>
    </row>
    <row r="598" spans="1:8" x14ac:dyDescent="0.25">
      <c r="A598" s="343">
        <v>425</v>
      </c>
      <c r="B598" s="343">
        <v>64183</v>
      </c>
      <c r="C598" s="342" t="s">
        <v>706</v>
      </c>
      <c r="D598" s="342" t="s">
        <v>847</v>
      </c>
      <c r="E598" s="342" t="s">
        <v>549</v>
      </c>
      <c r="F598" s="342" t="s">
        <v>1411</v>
      </c>
      <c r="G598" s="342" t="s">
        <v>737</v>
      </c>
      <c r="H598" s="342" t="s">
        <v>738</v>
      </c>
    </row>
    <row r="599" spans="1:8" x14ac:dyDescent="0.25">
      <c r="A599" s="343">
        <v>449</v>
      </c>
      <c r="B599" s="343">
        <v>64135</v>
      </c>
      <c r="C599" s="342" t="s">
        <v>832</v>
      </c>
      <c r="D599" s="342" t="s">
        <v>837</v>
      </c>
      <c r="E599" s="342" t="s">
        <v>386</v>
      </c>
      <c r="F599" s="342" t="s">
        <v>1412</v>
      </c>
      <c r="G599" s="342" t="s">
        <v>695</v>
      </c>
      <c r="H599" s="342" t="s">
        <v>1051</v>
      </c>
    </row>
    <row r="600" spans="1:8" x14ac:dyDescent="0.25">
      <c r="A600" s="343">
        <v>512</v>
      </c>
      <c r="B600" s="343">
        <v>64315</v>
      </c>
      <c r="C600" s="342" t="s">
        <v>692</v>
      </c>
      <c r="D600" s="342" t="s">
        <v>693</v>
      </c>
      <c r="E600" s="342" t="s">
        <v>643</v>
      </c>
      <c r="F600" s="342" t="s">
        <v>1413</v>
      </c>
      <c r="G600" s="342" t="s">
        <v>695</v>
      </c>
      <c r="H600" s="342" t="s">
        <v>696</v>
      </c>
    </row>
    <row r="601" spans="1:8" x14ac:dyDescent="0.25">
      <c r="A601" s="343">
        <v>514</v>
      </c>
      <c r="B601" s="343">
        <v>64136</v>
      </c>
      <c r="C601" s="342" t="s">
        <v>832</v>
      </c>
      <c r="D601" s="342" t="s">
        <v>837</v>
      </c>
      <c r="E601" s="342" t="s">
        <v>386</v>
      </c>
      <c r="F601" s="342" t="s">
        <v>1414</v>
      </c>
      <c r="G601" s="342" t="s">
        <v>695</v>
      </c>
      <c r="H601" s="342" t="s">
        <v>1202</v>
      </c>
    </row>
    <row r="602" spans="1:8" x14ac:dyDescent="0.25">
      <c r="A602" s="343">
        <v>565</v>
      </c>
      <c r="B602" s="343">
        <v>64225</v>
      </c>
      <c r="C602" s="342" t="s">
        <v>832</v>
      </c>
      <c r="D602" s="342" t="s">
        <v>897</v>
      </c>
      <c r="E602" s="342" t="s">
        <v>567</v>
      </c>
      <c r="F602" s="342" t="s">
        <v>1415</v>
      </c>
      <c r="G602" s="342" t="s">
        <v>1099</v>
      </c>
      <c r="H602" s="342" t="s">
        <v>1100</v>
      </c>
    </row>
    <row r="603" spans="1:8" x14ac:dyDescent="0.25">
      <c r="A603" s="343">
        <v>566</v>
      </c>
      <c r="B603" s="343">
        <v>26510</v>
      </c>
      <c r="C603" s="342" t="s">
        <v>832</v>
      </c>
      <c r="D603" s="342" t="s">
        <v>837</v>
      </c>
      <c r="E603" s="342" t="s">
        <v>386</v>
      </c>
      <c r="F603" s="342" t="s">
        <v>1416</v>
      </c>
      <c r="G603" s="342" t="s">
        <v>695</v>
      </c>
      <c r="H603" s="342" t="s">
        <v>880</v>
      </c>
    </row>
    <row r="604" spans="1:8" x14ac:dyDescent="0.25">
      <c r="A604" s="343">
        <v>594</v>
      </c>
      <c r="B604" s="343">
        <v>45871</v>
      </c>
      <c r="C604" s="342" t="s">
        <v>832</v>
      </c>
      <c r="D604" s="342" t="s">
        <v>897</v>
      </c>
      <c r="E604" s="342" t="s">
        <v>567</v>
      </c>
      <c r="F604" s="342" t="s">
        <v>1417</v>
      </c>
      <c r="G604" s="342" t="s">
        <v>695</v>
      </c>
      <c r="H604" s="342" t="s">
        <v>856</v>
      </c>
    </row>
    <row r="605" spans="1:8" x14ac:dyDescent="0.25">
      <c r="A605" s="343">
        <v>602</v>
      </c>
      <c r="B605" s="343">
        <v>64243</v>
      </c>
      <c r="C605" s="342" t="s">
        <v>740</v>
      </c>
      <c r="D605" s="342" t="s">
        <v>741</v>
      </c>
      <c r="E605" s="342" t="s">
        <v>616</v>
      </c>
      <c r="F605" s="342" t="s">
        <v>1418</v>
      </c>
      <c r="G605" s="342" t="s">
        <v>695</v>
      </c>
      <c r="H605" s="342" t="s">
        <v>726</v>
      </c>
    </row>
    <row r="606" spans="1:8" x14ac:dyDescent="0.25">
      <c r="A606" s="343">
        <v>627</v>
      </c>
      <c r="B606" s="343">
        <v>63995</v>
      </c>
      <c r="C606" s="342" t="s">
        <v>779</v>
      </c>
      <c r="D606" s="342" t="s">
        <v>956</v>
      </c>
      <c r="E606" s="342" t="s">
        <v>501</v>
      </c>
      <c r="F606" s="342" t="s">
        <v>1419</v>
      </c>
      <c r="G606" s="342" t="s">
        <v>695</v>
      </c>
      <c r="H606" s="342" t="s">
        <v>705</v>
      </c>
    </row>
    <row r="607" spans="1:8" x14ac:dyDescent="0.25">
      <c r="A607" s="343">
        <v>699</v>
      </c>
      <c r="B607" s="343">
        <v>63958</v>
      </c>
      <c r="C607" s="342" t="s">
        <v>692</v>
      </c>
      <c r="D607" s="342" t="s">
        <v>803</v>
      </c>
      <c r="E607" s="342" t="s">
        <v>488</v>
      </c>
      <c r="F607" s="342" t="s">
        <v>1420</v>
      </c>
      <c r="G607" s="342" t="s">
        <v>737</v>
      </c>
      <c r="H607" s="342" t="s">
        <v>738</v>
      </c>
    </row>
    <row r="608" spans="1:8" x14ac:dyDescent="0.25">
      <c r="A608" s="343">
        <v>701</v>
      </c>
      <c r="B608" s="343">
        <v>63991</v>
      </c>
      <c r="C608" s="342" t="s">
        <v>779</v>
      </c>
      <c r="D608" s="342" t="s">
        <v>956</v>
      </c>
      <c r="E608" s="342" t="s">
        <v>501</v>
      </c>
      <c r="F608" s="342" t="s">
        <v>1421</v>
      </c>
      <c r="G608" s="342" t="s">
        <v>695</v>
      </c>
      <c r="H608" s="342" t="s">
        <v>726</v>
      </c>
    </row>
    <row r="609" spans="1:8" x14ac:dyDescent="0.25">
      <c r="A609" s="343">
        <v>715</v>
      </c>
      <c r="B609" s="343">
        <v>64169</v>
      </c>
      <c r="C609" s="342" t="s">
        <v>692</v>
      </c>
      <c r="D609" s="342" t="s">
        <v>722</v>
      </c>
      <c r="E609" s="342" t="s">
        <v>551</v>
      </c>
      <c r="F609" s="342" t="s">
        <v>1422</v>
      </c>
      <c r="G609" s="342" t="s">
        <v>695</v>
      </c>
      <c r="H609" s="342" t="s">
        <v>726</v>
      </c>
    </row>
    <row r="610" spans="1:8" x14ac:dyDescent="0.25">
      <c r="A610" s="343">
        <v>909</v>
      </c>
      <c r="B610" s="343">
        <v>24461</v>
      </c>
      <c r="C610" s="342" t="s">
        <v>697</v>
      </c>
      <c r="D610" s="342" t="s">
        <v>774</v>
      </c>
      <c r="E610" s="342" t="s">
        <v>589</v>
      </c>
      <c r="F610" s="342" t="s">
        <v>1423</v>
      </c>
      <c r="G610" s="342" t="s">
        <v>695</v>
      </c>
      <c r="H610" s="342" t="s">
        <v>856</v>
      </c>
    </row>
    <row r="611" spans="1:8" x14ac:dyDescent="0.25">
      <c r="A611" s="343">
        <v>943</v>
      </c>
      <c r="B611" s="343">
        <v>67846</v>
      </c>
      <c r="C611" s="342" t="s">
        <v>832</v>
      </c>
      <c r="D611" s="342" t="s">
        <v>837</v>
      </c>
      <c r="E611" s="342" t="s">
        <v>386</v>
      </c>
      <c r="F611" s="342" t="s">
        <v>1424</v>
      </c>
      <c r="G611" s="342" t="s">
        <v>805</v>
      </c>
      <c r="H611" s="342" t="s">
        <v>883</v>
      </c>
    </row>
    <row r="612" spans="1:8" x14ac:dyDescent="0.25">
      <c r="A612" s="343">
        <v>949</v>
      </c>
      <c r="B612" s="343">
        <v>67869</v>
      </c>
      <c r="C612" s="342" t="s">
        <v>701</v>
      </c>
      <c r="D612" s="342" t="s">
        <v>749</v>
      </c>
      <c r="E612" s="342" t="s">
        <v>408</v>
      </c>
      <c r="F612" s="342" t="s">
        <v>1425</v>
      </c>
      <c r="G612" s="342" t="s">
        <v>805</v>
      </c>
      <c r="H612" s="342" t="s">
        <v>806</v>
      </c>
    </row>
    <row r="613" spans="1:8" x14ac:dyDescent="0.25">
      <c r="A613" s="343">
        <v>966</v>
      </c>
      <c r="B613" s="343">
        <v>47532</v>
      </c>
      <c r="C613" s="342" t="s">
        <v>692</v>
      </c>
      <c r="D613" s="342" t="s">
        <v>722</v>
      </c>
      <c r="E613" s="342" t="s">
        <v>551</v>
      </c>
      <c r="F613" s="342" t="s">
        <v>1426</v>
      </c>
      <c r="G613" s="342" t="s">
        <v>805</v>
      </c>
      <c r="H613" s="342" t="s">
        <v>1010</v>
      </c>
    </row>
    <row r="614" spans="1:8" x14ac:dyDescent="0.25">
      <c r="A614" s="343">
        <v>1005</v>
      </c>
      <c r="B614" s="343">
        <v>67686</v>
      </c>
      <c r="C614" s="342" t="s">
        <v>832</v>
      </c>
      <c r="D614" s="342" t="s">
        <v>837</v>
      </c>
      <c r="E614" s="342" t="s">
        <v>386</v>
      </c>
      <c r="F614" s="342" t="s">
        <v>1427</v>
      </c>
      <c r="G614" s="342" t="s">
        <v>805</v>
      </c>
      <c r="H614" s="342" t="s">
        <v>883</v>
      </c>
    </row>
    <row r="615" spans="1:8" x14ac:dyDescent="0.25">
      <c r="A615" s="343">
        <v>1006</v>
      </c>
      <c r="B615" s="343">
        <v>68063</v>
      </c>
      <c r="C615" s="342" t="s">
        <v>832</v>
      </c>
      <c r="D615" s="342" t="s">
        <v>837</v>
      </c>
      <c r="E615" s="342" t="s">
        <v>386</v>
      </c>
      <c r="F615" s="342" t="s">
        <v>1428</v>
      </c>
      <c r="G615" s="342" t="s">
        <v>695</v>
      </c>
      <c r="H615" s="342" t="s">
        <v>856</v>
      </c>
    </row>
    <row r="616" spans="1:8" x14ac:dyDescent="0.25">
      <c r="A616" s="343">
        <v>77</v>
      </c>
      <c r="B616" s="343">
        <v>48899</v>
      </c>
      <c r="C616" s="342" t="s">
        <v>822</v>
      </c>
      <c r="D616" s="342" t="s">
        <v>889</v>
      </c>
      <c r="E616" s="342" t="s">
        <v>440</v>
      </c>
      <c r="F616" s="342" t="s">
        <v>1429</v>
      </c>
      <c r="G616" s="342" t="s">
        <v>695</v>
      </c>
      <c r="H616" s="342" t="s">
        <v>696</v>
      </c>
    </row>
    <row r="617" spans="1:8" x14ac:dyDescent="0.25">
      <c r="A617" s="343">
        <v>572</v>
      </c>
      <c r="B617" s="343">
        <v>64046</v>
      </c>
      <c r="C617" s="342" t="s">
        <v>701</v>
      </c>
      <c r="D617" s="342" t="s">
        <v>727</v>
      </c>
      <c r="E617" s="342" t="s">
        <v>679</v>
      </c>
      <c r="F617" s="342" t="s">
        <v>1430</v>
      </c>
      <c r="G617" s="342" t="s">
        <v>1099</v>
      </c>
      <c r="H617" s="342" t="s">
        <v>1100</v>
      </c>
    </row>
    <row r="618" spans="1:8" x14ac:dyDescent="0.25">
      <c r="A618" s="343">
        <v>790</v>
      </c>
      <c r="B618" s="343">
        <v>63852</v>
      </c>
      <c r="C618" s="342" t="s">
        <v>767</v>
      </c>
      <c r="D618" s="342" t="s">
        <v>953</v>
      </c>
      <c r="E618" s="342" t="s">
        <v>403</v>
      </c>
      <c r="F618" s="342" t="s">
        <v>1431</v>
      </c>
      <c r="G618" s="342" t="s">
        <v>1099</v>
      </c>
      <c r="H618" s="342" t="s">
        <v>1100</v>
      </c>
    </row>
    <row r="619" spans="1:8" x14ac:dyDescent="0.25">
      <c r="A619" s="343">
        <v>899</v>
      </c>
      <c r="B619" s="343">
        <v>66267</v>
      </c>
      <c r="C619" s="342" t="s">
        <v>701</v>
      </c>
      <c r="D619" s="342" t="s">
        <v>749</v>
      </c>
      <c r="E619" s="342" t="s">
        <v>408</v>
      </c>
      <c r="F619" s="342" t="s">
        <v>1432</v>
      </c>
      <c r="G619" s="342" t="s">
        <v>805</v>
      </c>
      <c r="H619" s="342" t="s">
        <v>806</v>
      </c>
    </row>
    <row r="620" spans="1:8" x14ac:dyDescent="0.25">
      <c r="A620" s="343">
        <v>1010</v>
      </c>
      <c r="B620" s="343">
        <v>66267</v>
      </c>
      <c r="C620" s="342" t="s">
        <v>701</v>
      </c>
      <c r="D620" s="342" t="s">
        <v>749</v>
      </c>
      <c r="E620" s="342" t="s">
        <v>408</v>
      </c>
      <c r="F620" s="342" t="s">
        <v>1433</v>
      </c>
      <c r="G620" s="342" t="s">
        <v>805</v>
      </c>
      <c r="H620" s="342" t="s">
        <v>806</v>
      </c>
    </row>
    <row r="621" spans="1:8" x14ac:dyDescent="0.25">
      <c r="A621" s="343">
        <v>319</v>
      </c>
      <c r="B621" s="343">
        <v>178</v>
      </c>
      <c r="C621" s="342" t="s">
        <v>692</v>
      </c>
      <c r="D621" s="342" t="s">
        <v>693</v>
      </c>
      <c r="E621" s="342" t="s">
        <v>643</v>
      </c>
      <c r="F621" s="342" t="s">
        <v>1434</v>
      </c>
      <c r="G621" s="342" t="s">
        <v>695</v>
      </c>
      <c r="H621" s="342" t="s">
        <v>696</v>
      </c>
    </row>
    <row r="622" spans="1:8" x14ac:dyDescent="0.25">
      <c r="A622" s="343">
        <v>682</v>
      </c>
      <c r="B622" s="343">
        <v>63851</v>
      </c>
      <c r="C622" s="342" t="s">
        <v>767</v>
      </c>
      <c r="D622" s="342" t="s">
        <v>953</v>
      </c>
      <c r="E622" s="342" t="s">
        <v>403</v>
      </c>
      <c r="F622" s="342" t="s">
        <v>1435</v>
      </c>
      <c r="G622" s="342" t="s">
        <v>1099</v>
      </c>
      <c r="H622" s="342" t="s">
        <v>1100</v>
      </c>
    </row>
    <row r="623" spans="1:8" x14ac:dyDescent="0.25">
      <c r="A623" s="343">
        <v>506</v>
      </c>
      <c r="B623" s="343">
        <v>64750</v>
      </c>
      <c r="C623" s="342" t="s">
        <v>692</v>
      </c>
      <c r="D623" s="342" t="s">
        <v>693</v>
      </c>
      <c r="E623" s="342" t="s">
        <v>643</v>
      </c>
      <c r="F623" s="342" t="s">
        <v>1436</v>
      </c>
      <c r="G623" s="342" t="s">
        <v>695</v>
      </c>
      <c r="H623" s="342" t="s">
        <v>973</v>
      </c>
    </row>
    <row r="624" spans="1:8" x14ac:dyDescent="0.25">
      <c r="A624" s="343">
        <v>785</v>
      </c>
      <c r="B624" s="343">
        <v>64263</v>
      </c>
      <c r="C624" s="342" t="s">
        <v>692</v>
      </c>
      <c r="D624" s="342" t="s">
        <v>693</v>
      </c>
      <c r="E624" s="342" t="s">
        <v>643</v>
      </c>
      <c r="F624" s="342" t="s">
        <v>1437</v>
      </c>
      <c r="G624" s="342" t="s">
        <v>695</v>
      </c>
      <c r="H624" s="342" t="s">
        <v>1438</v>
      </c>
    </row>
    <row r="625" spans="1:8" x14ac:dyDescent="0.25">
      <c r="A625" s="343">
        <v>963</v>
      </c>
      <c r="B625" s="343">
        <v>45942</v>
      </c>
      <c r="C625" s="342" t="s">
        <v>779</v>
      </c>
      <c r="D625" s="342" t="s">
        <v>1024</v>
      </c>
      <c r="E625" s="342" t="s">
        <v>514</v>
      </c>
      <c r="F625" s="342" t="s">
        <v>1439</v>
      </c>
      <c r="G625" s="342" t="s">
        <v>805</v>
      </c>
      <c r="H625" s="342" t="s">
        <v>813</v>
      </c>
    </row>
    <row r="626" spans="1:8" x14ac:dyDescent="0.25">
      <c r="A626" s="343">
        <v>538</v>
      </c>
      <c r="B626" s="343">
        <v>63758</v>
      </c>
      <c r="C626" s="342" t="s">
        <v>767</v>
      </c>
      <c r="D626" s="342" t="s">
        <v>768</v>
      </c>
      <c r="E626" s="342" t="s">
        <v>369</v>
      </c>
      <c r="F626" s="342" t="s">
        <v>1440</v>
      </c>
      <c r="G626" s="342" t="s">
        <v>805</v>
      </c>
      <c r="H626" s="342" t="s">
        <v>806</v>
      </c>
    </row>
    <row r="627" spans="1:8" x14ac:dyDescent="0.25">
      <c r="A627" s="343">
        <v>94</v>
      </c>
      <c r="B627" s="343">
        <v>44</v>
      </c>
      <c r="C627" s="342" t="s">
        <v>779</v>
      </c>
      <c r="D627" s="342" t="s">
        <v>780</v>
      </c>
      <c r="E627" s="342" t="s">
        <v>458</v>
      </c>
      <c r="F627" s="342" t="s">
        <v>1441</v>
      </c>
      <c r="G627" s="342" t="s">
        <v>695</v>
      </c>
      <c r="H627" s="342" t="s">
        <v>696</v>
      </c>
    </row>
    <row r="628" spans="1:8" x14ac:dyDescent="0.25">
      <c r="A628" s="343">
        <v>223</v>
      </c>
      <c r="B628" s="343">
        <v>48927</v>
      </c>
      <c r="C628" s="342" t="s">
        <v>740</v>
      </c>
      <c r="D628" s="342" t="s">
        <v>765</v>
      </c>
      <c r="E628" s="342" t="s">
        <v>591</v>
      </c>
      <c r="F628" s="342" t="s">
        <v>1442</v>
      </c>
      <c r="G628" s="342" t="s">
        <v>695</v>
      </c>
      <c r="H628" s="342" t="s">
        <v>696</v>
      </c>
    </row>
    <row r="629" spans="1:8" x14ac:dyDescent="0.25">
      <c r="A629" s="343">
        <v>322</v>
      </c>
      <c r="B629" s="343">
        <v>64313</v>
      </c>
      <c r="C629" s="342" t="s">
        <v>692</v>
      </c>
      <c r="D629" s="342" t="s">
        <v>693</v>
      </c>
      <c r="E629" s="342" t="s">
        <v>643</v>
      </c>
      <c r="F629" s="342" t="s">
        <v>1443</v>
      </c>
      <c r="G629" s="342" t="s">
        <v>695</v>
      </c>
      <c r="H629" s="342" t="s">
        <v>696</v>
      </c>
    </row>
    <row r="630" spans="1:8" x14ac:dyDescent="0.25">
      <c r="A630" s="343">
        <v>487</v>
      </c>
      <c r="B630" s="343">
        <v>64196</v>
      </c>
      <c r="C630" s="342" t="s">
        <v>692</v>
      </c>
      <c r="D630" s="342" t="s">
        <v>865</v>
      </c>
      <c r="E630" s="342" t="s">
        <v>658</v>
      </c>
      <c r="F630" s="342" t="s">
        <v>1444</v>
      </c>
      <c r="G630" s="342" t="s">
        <v>737</v>
      </c>
      <c r="H630" s="342" t="s">
        <v>738</v>
      </c>
    </row>
    <row r="631" spans="1:8" x14ac:dyDescent="0.25">
      <c r="A631" s="343">
        <v>759</v>
      </c>
      <c r="B631" s="343">
        <v>64194</v>
      </c>
      <c r="C631" s="342" t="s">
        <v>692</v>
      </c>
      <c r="D631" s="342" t="s">
        <v>865</v>
      </c>
      <c r="E631" s="342" t="s">
        <v>658</v>
      </c>
      <c r="F631" s="342" t="s">
        <v>1445</v>
      </c>
      <c r="G631" s="342" t="s">
        <v>1099</v>
      </c>
      <c r="H631" s="342" t="s">
        <v>1100</v>
      </c>
    </row>
    <row r="632" spans="1:8" x14ac:dyDescent="0.25">
      <c r="A632" s="343">
        <v>693</v>
      </c>
      <c r="B632" s="343">
        <v>64154</v>
      </c>
      <c r="C632" s="342" t="s">
        <v>822</v>
      </c>
      <c r="D632" s="342" t="s">
        <v>823</v>
      </c>
      <c r="E632" s="342" t="s">
        <v>462</v>
      </c>
      <c r="F632" s="342" t="s">
        <v>1446</v>
      </c>
      <c r="G632" s="342" t="s">
        <v>805</v>
      </c>
      <c r="H632" s="342" t="s">
        <v>806</v>
      </c>
    </row>
    <row r="633" spans="1:8" x14ac:dyDescent="0.25">
      <c r="A633" s="343">
        <v>420</v>
      </c>
      <c r="B633" s="343">
        <v>64151</v>
      </c>
      <c r="C633" s="342" t="s">
        <v>740</v>
      </c>
      <c r="D633" s="342" t="s">
        <v>920</v>
      </c>
      <c r="E633" s="342" t="s">
        <v>392</v>
      </c>
      <c r="F633" s="342" t="s">
        <v>1447</v>
      </c>
      <c r="G633" s="342" t="s">
        <v>737</v>
      </c>
      <c r="H633" s="342" t="s">
        <v>738</v>
      </c>
    </row>
    <row r="634" spans="1:8" x14ac:dyDescent="0.25">
      <c r="A634" s="343">
        <v>705</v>
      </c>
      <c r="B634" s="343">
        <v>64026</v>
      </c>
      <c r="C634" s="342" t="s">
        <v>701</v>
      </c>
      <c r="D634" s="342" t="s">
        <v>835</v>
      </c>
      <c r="E634" s="342" t="s">
        <v>513</v>
      </c>
      <c r="F634" s="342" t="s">
        <v>1448</v>
      </c>
      <c r="G634" s="342" t="s">
        <v>1099</v>
      </c>
      <c r="H634" s="342" t="s">
        <v>1100</v>
      </c>
    </row>
    <row r="635" spans="1:8" x14ac:dyDescent="0.25">
      <c r="A635" s="343">
        <v>750</v>
      </c>
      <c r="B635" s="343">
        <v>64158</v>
      </c>
      <c r="C635" s="342" t="s">
        <v>701</v>
      </c>
      <c r="D635" s="342" t="s">
        <v>729</v>
      </c>
      <c r="E635" s="342" t="s">
        <v>443</v>
      </c>
      <c r="F635" s="342" t="s">
        <v>1449</v>
      </c>
      <c r="G635" s="342" t="s">
        <v>805</v>
      </c>
      <c r="H635" s="342" t="s">
        <v>806</v>
      </c>
    </row>
    <row r="636" spans="1:8" x14ac:dyDescent="0.25">
      <c r="A636" s="343">
        <v>946</v>
      </c>
      <c r="B636" s="343">
        <v>67892</v>
      </c>
      <c r="C636" s="342" t="s">
        <v>740</v>
      </c>
      <c r="D636" s="342" t="s">
        <v>920</v>
      </c>
      <c r="E636" s="342" t="s">
        <v>392</v>
      </c>
      <c r="F636" s="342" t="s">
        <v>1450</v>
      </c>
      <c r="G636" s="342" t="s">
        <v>737</v>
      </c>
      <c r="H636" s="342" t="s">
        <v>738</v>
      </c>
    </row>
    <row r="637" spans="1:8" x14ac:dyDescent="0.25">
      <c r="A637" s="343">
        <v>279</v>
      </c>
      <c r="B637" s="343">
        <v>132</v>
      </c>
      <c r="C637" s="342" t="s">
        <v>822</v>
      </c>
      <c r="D637" s="342" t="s">
        <v>823</v>
      </c>
      <c r="E637" s="342" t="s">
        <v>649</v>
      </c>
      <c r="F637" s="342" t="s">
        <v>1451</v>
      </c>
      <c r="G637" s="342" t="s">
        <v>695</v>
      </c>
      <c r="H637" s="342" t="s">
        <v>696</v>
      </c>
    </row>
    <row r="638" spans="1:8" x14ac:dyDescent="0.25">
      <c r="A638" s="343">
        <v>931</v>
      </c>
      <c r="B638" s="343">
        <v>67250</v>
      </c>
      <c r="C638" s="342" t="s">
        <v>779</v>
      </c>
      <c r="D638" s="342" t="s">
        <v>956</v>
      </c>
      <c r="E638" s="342" t="s">
        <v>501</v>
      </c>
      <c r="F638" s="342" t="s">
        <v>1452</v>
      </c>
      <c r="G638" s="342" t="s">
        <v>805</v>
      </c>
      <c r="H638" s="342" t="s">
        <v>806</v>
      </c>
    </row>
    <row r="639" spans="1:8" x14ac:dyDescent="0.25">
      <c r="A639" s="343">
        <v>92</v>
      </c>
      <c r="B639" s="343">
        <v>284</v>
      </c>
      <c r="C639" s="342" t="s">
        <v>706</v>
      </c>
      <c r="D639" s="342" t="s">
        <v>847</v>
      </c>
      <c r="E639" s="342" t="s">
        <v>456</v>
      </c>
      <c r="F639" s="342" t="s">
        <v>1453</v>
      </c>
      <c r="G639" s="342" t="s">
        <v>695</v>
      </c>
      <c r="H639" s="342" t="s">
        <v>696</v>
      </c>
    </row>
    <row r="640" spans="1:8" x14ac:dyDescent="0.25">
      <c r="A640" s="343">
        <v>150</v>
      </c>
      <c r="B640" s="343">
        <v>48514</v>
      </c>
      <c r="C640" s="342" t="s">
        <v>779</v>
      </c>
      <c r="D640" s="342" t="s">
        <v>1024</v>
      </c>
      <c r="E640" s="342" t="s">
        <v>514</v>
      </c>
      <c r="F640" s="342" t="s">
        <v>1454</v>
      </c>
      <c r="G640" s="342" t="s">
        <v>695</v>
      </c>
      <c r="H640" s="342" t="s">
        <v>696</v>
      </c>
    </row>
    <row r="641" spans="1:8" x14ac:dyDescent="0.25">
      <c r="A641" s="343">
        <v>676</v>
      </c>
      <c r="B641" s="343">
        <v>63826</v>
      </c>
      <c r="C641" s="342" t="s">
        <v>767</v>
      </c>
      <c r="D641" s="342" t="s">
        <v>1220</v>
      </c>
      <c r="E641" s="342" t="s">
        <v>385</v>
      </c>
      <c r="F641" s="342" t="s">
        <v>1455</v>
      </c>
      <c r="G641" s="342" t="s">
        <v>805</v>
      </c>
      <c r="H641" s="342" t="s">
        <v>806</v>
      </c>
    </row>
    <row r="642" spans="1:8" x14ac:dyDescent="0.25">
      <c r="A642" s="343">
        <v>867</v>
      </c>
      <c r="B642" s="343">
        <v>2945</v>
      </c>
      <c r="C642" s="342" t="s">
        <v>740</v>
      </c>
      <c r="D642" s="342" t="s">
        <v>765</v>
      </c>
      <c r="E642" s="342" t="s">
        <v>413</v>
      </c>
      <c r="F642" s="342" t="s">
        <v>1456</v>
      </c>
      <c r="G642" s="342" t="s">
        <v>805</v>
      </c>
      <c r="H642" s="342" t="s">
        <v>883</v>
      </c>
    </row>
    <row r="643" spans="1:8" x14ac:dyDescent="0.25">
      <c r="A643" s="343">
        <v>876</v>
      </c>
      <c r="B643" s="343">
        <v>67165</v>
      </c>
      <c r="C643" s="342" t="s">
        <v>832</v>
      </c>
      <c r="D643" s="342" t="s">
        <v>897</v>
      </c>
      <c r="E643" s="342" t="s">
        <v>505</v>
      </c>
      <c r="F643" s="342" t="s">
        <v>1457</v>
      </c>
      <c r="G643" s="342" t="s">
        <v>805</v>
      </c>
      <c r="H643" s="342" t="s">
        <v>806</v>
      </c>
    </row>
    <row r="644" spans="1:8" x14ac:dyDescent="0.25">
      <c r="A644" s="343">
        <v>135</v>
      </c>
      <c r="B644" s="343">
        <v>40</v>
      </c>
      <c r="C644" s="342" t="s">
        <v>822</v>
      </c>
      <c r="D644" s="342" t="s">
        <v>889</v>
      </c>
      <c r="E644" s="342" t="s">
        <v>499</v>
      </c>
      <c r="F644" s="342" t="s">
        <v>1458</v>
      </c>
      <c r="G644" s="342" t="s">
        <v>695</v>
      </c>
      <c r="H644" s="342" t="s">
        <v>696</v>
      </c>
    </row>
    <row r="645" spans="1:8" x14ac:dyDescent="0.25">
      <c r="A645" s="343">
        <v>163</v>
      </c>
      <c r="B645" s="343">
        <v>63894</v>
      </c>
      <c r="C645" s="342" t="s">
        <v>822</v>
      </c>
      <c r="D645" s="342" t="s">
        <v>889</v>
      </c>
      <c r="E645" s="342" t="s">
        <v>528</v>
      </c>
      <c r="F645" s="342" t="s">
        <v>1459</v>
      </c>
      <c r="G645" s="342" t="s">
        <v>695</v>
      </c>
      <c r="H645" s="342" t="s">
        <v>696</v>
      </c>
    </row>
    <row r="646" spans="1:8" x14ac:dyDescent="0.25">
      <c r="A646" s="343">
        <v>726</v>
      </c>
      <c r="B646" s="343">
        <v>64208</v>
      </c>
      <c r="C646" s="342" t="s">
        <v>832</v>
      </c>
      <c r="D646" s="342" t="s">
        <v>928</v>
      </c>
      <c r="E646" s="342" t="s">
        <v>641</v>
      </c>
      <c r="F646" s="342" t="s">
        <v>1460</v>
      </c>
      <c r="G646" s="342" t="s">
        <v>805</v>
      </c>
      <c r="H646" s="342" t="s">
        <v>806</v>
      </c>
    </row>
    <row r="647" spans="1:8" x14ac:dyDescent="0.25">
      <c r="A647" s="343">
        <v>690</v>
      </c>
      <c r="B647" s="343">
        <v>63902</v>
      </c>
      <c r="C647" s="342" t="s">
        <v>692</v>
      </c>
      <c r="D647" s="342" t="s">
        <v>803</v>
      </c>
      <c r="E647" s="342" t="s">
        <v>459</v>
      </c>
      <c r="F647" s="342" t="s">
        <v>1461</v>
      </c>
      <c r="G647" s="342" t="s">
        <v>695</v>
      </c>
      <c r="H647" s="342" t="s">
        <v>726</v>
      </c>
    </row>
    <row r="648" spans="1:8" x14ac:dyDescent="0.25">
      <c r="A648" s="343">
        <v>957</v>
      </c>
      <c r="B648" s="343">
        <v>67848</v>
      </c>
      <c r="C648" s="342" t="s">
        <v>697</v>
      </c>
      <c r="D648" s="342" t="s">
        <v>774</v>
      </c>
      <c r="E648" s="342" t="s">
        <v>453</v>
      </c>
      <c r="F648" s="342" t="s">
        <v>1462</v>
      </c>
      <c r="G648" s="342" t="s">
        <v>695</v>
      </c>
      <c r="H648" s="342" t="s">
        <v>726</v>
      </c>
    </row>
    <row r="649" spans="1:8" x14ac:dyDescent="0.25">
      <c r="A649" s="343">
        <v>1009</v>
      </c>
      <c r="B649" s="343">
        <v>67862</v>
      </c>
      <c r="C649" s="342" t="s">
        <v>740</v>
      </c>
      <c r="D649" s="342" t="s">
        <v>741</v>
      </c>
      <c r="E649" s="342" t="s">
        <v>575</v>
      </c>
      <c r="F649" s="342" t="s">
        <v>1463</v>
      </c>
      <c r="G649" s="342" t="s">
        <v>997</v>
      </c>
      <c r="H649" s="342" t="s">
        <v>997</v>
      </c>
    </row>
    <row r="650" spans="1:8" x14ac:dyDescent="0.25">
      <c r="A650" s="343">
        <v>499</v>
      </c>
      <c r="B650" s="343">
        <v>148</v>
      </c>
      <c r="C650" s="342" t="s">
        <v>706</v>
      </c>
      <c r="D650" s="342" t="s">
        <v>847</v>
      </c>
      <c r="E650" s="342" t="s">
        <v>387</v>
      </c>
      <c r="F650" s="342" t="s">
        <v>1464</v>
      </c>
      <c r="G650" s="342" t="s">
        <v>695</v>
      </c>
      <c r="H650" s="342" t="s">
        <v>705</v>
      </c>
    </row>
    <row r="651" spans="1:8" x14ac:dyDescent="0.25">
      <c r="A651" s="343">
        <v>275</v>
      </c>
      <c r="B651" s="343">
        <v>239</v>
      </c>
      <c r="C651" s="342" t="s">
        <v>740</v>
      </c>
      <c r="D651" s="342" t="s">
        <v>741</v>
      </c>
      <c r="E651" s="342" t="s">
        <v>645</v>
      </c>
      <c r="F651" s="342" t="s">
        <v>1465</v>
      </c>
      <c r="G651" s="342" t="s">
        <v>695</v>
      </c>
      <c r="H651" s="342" t="s">
        <v>696</v>
      </c>
    </row>
    <row r="652" spans="1:8" x14ac:dyDescent="0.25">
      <c r="A652" s="343">
        <v>393</v>
      </c>
      <c r="B652" s="343">
        <v>63976</v>
      </c>
      <c r="C652" s="342" t="s">
        <v>701</v>
      </c>
      <c r="D652" s="342" t="s">
        <v>718</v>
      </c>
      <c r="E652" s="342" t="s">
        <v>650</v>
      </c>
      <c r="F652" s="342" t="s">
        <v>1466</v>
      </c>
      <c r="G652" s="342" t="s">
        <v>695</v>
      </c>
      <c r="H652" s="342" t="s">
        <v>700</v>
      </c>
    </row>
    <row r="653" spans="1:8" x14ac:dyDescent="0.25">
      <c r="A653" s="343">
        <v>791</v>
      </c>
      <c r="B653" s="343">
        <v>63979</v>
      </c>
      <c r="C653" s="342" t="s">
        <v>701</v>
      </c>
      <c r="D653" s="342" t="s">
        <v>718</v>
      </c>
      <c r="E653" s="342" t="s">
        <v>650</v>
      </c>
      <c r="F653" s="342" t="s">
        <v>1467</v>
      </c>
      <c r="G653" s="342" t="s">
        <v>695</v>
      </c>
      <c r="H653" s="342" t="s">
        <v>856</v>
      </c>
    </row>
    <row r="654" spans="1:8" x14ac:dyDescent="0.25">
      <c r="A654" s="343">
        <v>984</v>
      </c>
      <c r="B654" s="343">
        <v>12763</v>
      </c>
      <c r="C654" s="342" t="s">
        <v>692</v>
      </c>
      <c r="D654" s="342" t="s">
        <v>693</v>
      </c>
      <c r="E654" s="342" t="s">
        <v>643</v>
      </c>
      <c r="F654" s="342" t="s">
        <v>1468</v>
      </c>
      <c r="G654" s="342" t="s">
        <v>805</v>
      </c>
      <c r="H654" s="342" t="s">
        <v>813</v>
      </c>
    </row>
    <row r="655" spans="1:8" x14ac:dyDescent="0.25">
      <c r="A655" s="343">
        <v>89</v>
      </c>
      <c r="B655" s="343">
        <v>269</v>
      </c>
      <c r="C655" s="342" t="s">
        <v>697</v>
      </c>
      <c r="D655" s="342" t="s">
        <v>774</v>
      </c>
      <c r="E655" s="342" t="s">
        <v>453</v>
      </c>
      <c r="F655" s="342" t="s">
        <v>1469</v>
      </c>
      <c r="G655" s="342" t="s">
        <v>695</v>
      </c>
      <c r="H655" s="342" t="s">
        <v>696</v>
      </c>
    </row>
    <row r="656" spans="1:8" x14ac:dyDescent="0.25">
      <c r="A656" s="343">
        <v>115</v>
      </c>
      <c r="B656" s="343">
        <v>63942</v>
      </c>
      <c r="C656" s="342" t="s">
        <v>740</v>
      </c>
      <c r="D656" s="342" t="s">
        <v>963</v>
      </c>
      <c r="E656" s="342" t="s">
        <v>477</v>
      </c>
      <c r="F656" s="342" t="s">
        <v>1470</v>
      </c>
      <c r="G656" s="342" t="s">
        <v>695</v>
      </c>
      <c r="H656" s="342" t="s">
        <v>696</v>
      </c>
    </row>
    <row r="657" spans="1:8" x14ac:dyDescent="0.25">
      <c r="A657" s="343">
        <v>193</v>
      </c>
      <c r="B657" s="343">
        <v>126</v>
      </c>
      <c r="C657" s="342" t="s">
        <v>697</v>
      </c>
      <c r="D657" s="342" t="s">
        <v>772</v>
      </c>
      <c r="E657" s="342" t="s">
        <v>559</v>
      </c>
      <c r="F657" s="342" t="s">
        <v>1471</v>
      </c>
      <c r="G657" s="342" t="s">
        <v>695</v>
      </c>
      <c r="H657" s="342" t="s">
        <v>696</v>
      </c>
    </row>
    <row r="658" spans="1:8" x14ac:dyDescent="0.25">
      <c r="A658" s="343">
        <v>760</v>
      </c>
      <c r="B658" s="343">
        <v>63930</v>
      </c>
      <c r="C658" s="342" t="s">
        <v>832</v>
      </c>
      <c r="D658" s="342" t="s">
        <v>928</v>
      </c>
      <c r="E658" s="342" t="s">
        <v>492</v>
      </c>
      <c r="F658" s="342" t="s">
        <v>1472</v>
      </c>
      <c r="G658" s="342" t="s">
        <v>805</v>
      </c>
      <c r="H658" s="342" t="s">
        <v>883</v>
      </c>
    </row>
    <row r="659" spans="1:8" x14ac:dyDescent="0.25">
      <c r="A659" s="343">
        <v>913</v>
      </c>
      <c r="B659" s="343">
        <v>66195</v>
      </c>
      <c r="C659" s="342" t="s">
        <v>740</v>
      </c>
      <c r="D659" s="342" t="s">
        <v>963</v>
      </c>
      <c r="E659" s="342" t="s">
        <v>477</v>
      </c>
      <c r="F659" s="342" t="s">
        <v>1473</v>
      </c>
      <c r="G659" s="342" t="s">
        <v>695</v>
      </c>
      <c r="H659" s="342" t="s">
        <v>726</v>
      </c>
    </row>
    <row r="660" spans="1:8" x14ac:dyDescent="0.25">
      <c r="A660" s="343">
        <v>32</v>
      </c>
      <c r="B660" s="343">
        <v>48896</v>
      </c>
      <c r="C660" s="342" t="s">
        <v>740</v>
      </c>
      <c r="D660" s="342" t="s">
        <v>920</v>
      </c>
      <c r="E660" s="342" t="s">
        <v>392</v>
      </c>
      <c r="F660" s="342" t="s">
        <v>1474</v>
      </c>
      <c r="G660" s="342" t="s">
        <v>695</v>
      </c>
      <c r="H660" s="342" t="s">
        <v>696</v>
      </c>
    </row>
    <row r="661" spans="1:8" x14ac:dyDescent="0.25">
      <c r="A661" s="343">
        <v>1000</v>
      </c>
      <c r="B661" s="343">
        <v>67849</v>
      </c>
      <c r="C661" s="342" t="s">
        <v>740</v>
      </c>
      <c r="D661" s="342" t="s">
        <v>765</v>
      </c>
      <c r="E661" s="342" t="s">
        <v>482</v>
      </c>
      <c r="F661" s="342" t="s">
        <v>1475</v>
      </c>
      <c r="G661" s="342" t="s">
        <v>1099</v>
      </c>
      <c r="H661" s="342" t="s">
        <v>1100</v>
      </c>
    </row>
    <row r="662" spans="1:8" x14ac:dyDescent="0.25">
      <c r="A662" s="343">
        <v>697</v>
      </c>
      <c r="B662" s="343">
        <v>171</v>
      </c>
      <c r="C662" s="342" t="s">
        <v>701</v>
      </c>
      <c r="D662" s="342" t="s">
        <v>744</v>
      </c>
      <c r="E662" s="342" t="s">
        <v>485</v>
      </c>
      <c r="F662" s="342" t="s">
        <v>1476</v>
      </c>
      <c r="G662" s="342" t="s">
        <v>695</v>
      </c>
      <c r="H662" s="342" t="s">
        <v>726</v>
      </c>
    </row>
    <row r="663" spans="1:8" x14ac:dyDescent="0.25">
      <c r="A663" s="343">
        <v>878</v>
      </c>
      <c r="B663" s="343">
        <v>66229</v>
      </c>
      <c r="C663" s="342" t="s">
        <v>701</v>
      </c>
      <c r="D663" s="342" t="s">
        <v>729</v>
      </c>
      <c r="E663" s="342" t="s">
        <v>635</v>
      </c>
      <c r="F663" s="342" t="s">
        <v>1477</v>
      </c>
      <c r="G663" s="342" t="s">
        <v>805</v>
      </c>
      <c r="H663" s="342" t="s">
        <v>806</v>
      </c>
    </row>
    <row r="664" spans="1:8" x14ac:dyDescent="0.25">
      <c r="A664" s="343">
        <v>958</v>
      </c>
      <c r="B664" s="343">
        <v>45529</v>
      </c>
      <c r="C664" s="342" t="s">
        <v>697</v>
      </c>
      <c r="D664" s="342" t="s">
        <v>774</v>
      </c>
      <c r="E664" s="342" t="s">
        <v>453</v>
      </c>
      <c r="F664" s="342" t="s">
        <v>1478</v>
      </c>
      <c r="G664" s="342" t="s">
        <v>805</v>
      </c>
      <c r="H664" s="342" t="s">
        <v>813</v>
      </c>
    </row>
    <row r="665" spans="1:8" x14ac:dyDescent="0.25">
      <c r="A665" s="343">
        <v>394</v>
      </c>
      <c r="B665" s="343">
        <v>63978</v>
      </c>
      <c r="C665" s="342" t="s">
        <v>701</v>
      </c>
      <c r="D665" s="342" t="s">
        <v>718</v>
      </c>
      <c r="E665" s="342" t="s">
        <v>650</v>
      </c>
      <c r="F665" s="342" t="s">
        <v>1479</v>
      </c>
      <c r="G665" s="342" t="s">
        <v>695</v>
      </c>
      <c r="H665" s="342" t="s">
        <v>705</v>
      </c>
    </row>
    <row r="666" spans="1:8" x14ac:dyDescent="0.25">
      <c r="A666" s="343">
        <v>122</v>
      </c>
      <c r="B666" s="343">
        <v>48961</v>
      </c>
      <c r="C666" s="342" t="s">
        <v>692</v>
      </c>
      <c r="D666" s="342" t="s">
        <v>865</v>
      </c>
      <c r="E666" s="342" t="s">
        <v>484</v>
      </c>
      <c r="F666" s="342" t="s">
        <v>1480</v>
      </c>
      <c r="G666" s="342" t="s">
        <v>695</v>
      </c>
      <c r="H666" s="342" t="s">
        <v>696</v>
      </c>
    </row>
    <row r="667" spans="1:8" x14ac:dyDescent="0.25">
      <c r="A667" s="343">
        <v>111</v>
      </c>
      <c r="B667" s="343">
        <v>63931</v>
      </c>
      <c r="C667" s="342" t="s">
        <v>789</v>
      </c>
      <c r="D667" s="342" t="s">
        <v>913</v>
      </c>
      <c r="E667" s="342" t="s">
        <v>473</v>
      </c>
      <c r="F667" s="342" t="s">
        <v>1481</v>
      </c>
      <c r="G667" s="342" t="s">
        <v>695</v>
      </c>
      <c r="H667" s="342" t="s">
        <v>696</v>
      </c>
    </row>
    <row r="668" spans="1:8" x14ac:dyDescent="0.25">
      <c r="A668" s="343">
        <v>282</v>
      </c>
      <c r="B668" s="343">
        <v>44129</v>
      </c>
      <c r="C668" s="342" t="s">
        <v>767</v>
      </c>
      <c r="D668" s="342" t="s">
        <v>895</v>
      </c>
      <c r="E668" s="342" t="s">
        <v>652</v>
      </c>
      <c r="F668" s="342" t="s">
        <v>1482</v>
      </c>
      <c r="G668" s="342" t="s">
        <v>695</v>
      </c>
      <c r="H668" s="342" t="s">
        <v>696</v>
      </c>
    </row>
    <row r="669" spans="1:8" x14ac:dyDescent="0.25">
      <c r="A669" s="343">
        <v>659</v>
      </c>
      <c r="B669" s="343">
        <v>64302</v>
      </c>
      <c r="C669" s="342" t="s">
        <v>767</v>
      </c>
      <c r="D669" s="342" t="s">
        <v>895</v>
      </c>
      <c r="E669" s="342" t="s">
        <v>652</v>
      </c>
      <c r="F669" s="342" t="s">
        <v>1483</v>
      </c>
      <c r="G669" s="342" t="s">
        <v>737</v>
      </c>
      <c r="H669" s="342" t="s">
        <v>738</v>
      </c>
    </row>
    <row r="670" spans="1:8" x14ac:dyDescent="0.25">
      <c r="A670" s="343">
        <v>675</v>
      </c>
      <c r="B670" s="343">
        <v>63807</v>
      </c>
      <c r="C670" s="342" t="s">
        <v>832</v>
      </c>
      <c r="D670" s="342" t="s">
        <v>833</v>
      </c>
      <c r="E670" s="342" t="s">
        <v>377</v>
      </c>
      <c r="F670" s="342" t="s">
        <v>1484</v>
      </c>
      <c r="G670" s="342" t="s">
        <v>805</v>
      </c>
      <c r="H670" s="342" t="s">
        <v>806</v>
      </c>
    </row>
    <row r="671" spans="1:8" x14ac:dyDescent="0.25">
      <c r="A671" s="343">
        <v>236</v>
      </c>
      <c r="B671" s="343">
        <v>153</v>
      </c>
      <c r="C671" s="342" t="s">
        <v>697</v>
      </c>
      <c r="D671" s="342" t="s">
        <v>698</v>
      </c>
      <c r="E671" s="342" t="s">
        <v>605</v>
      </c>
      <c r="F671" s="342" t="s">
        <v>1485</v>
      </c>
      <c r="G671" s="342" t="s">
        <v>695</v>
      </c>
      <c r="H671" s="342" t="s">
        <v>696</v>
      </c>
    </row>
    <row r="672" spans="1:8" x14ac:dyDescent="0.25">
      <c r="A672" s="343">
        <v>455</v>
      </c>
      <c r="B672" s="343">
        <v>64192</v>
      </c>
      <c r="C672" s="342" t="s">
        <v>701</v>
      </c>
      <c r="D672" s="342" t="s">
        <v>763</v>
      </c>
      <c r="E672" s="342" t="s">
        <v>655</v>
      </c>
      <c r="F672" s="342" t="s">
        <v>1486</v>
      </c>
      <c r="G672" s="342" t="s">
        <v>695</v>
      </c>
      <c r="H672" s="342" t="s">
        <v>734</v>
      </c>
    </row>
    <row r="673" spans="1:8" x14ac:dyDescent="0.25">
      <c r="A673" s="343">
        <v>611</v>
      </c>
      <c r="B673" s="343">
        <v>12</v>
      </c>
      <c r="C673" s="342" t="s">
        <v>697</v>
      </c>
      <c r="D673" s="342" t="s">
        <v>874</v>
      </c>
      <c r="E673" s="342" t="s">
        <v>350</v>
      </c>
      <c r="F673" s="342" t="s">
        <v>1487</v>
      </c>
      <c r="G673" s="342" t="s">
        <v>695</v>
      </c>
      <c r="H673" s="342" t="s">
        <v>856</v>
      </c>
    </row>
    <row r="674" spans="1:8" x14ac:dyDescent="0.25">
      <c r="A674" s="343">
        <v>981</v>
      </c>
      <c r="B674" s="343">
        <v>45610</v>
      </c>
      <c r="C674" s="342" t="s">
        <v>706</v>
      </c>
      <c r="D674" s="342" t="s">
        <v>720</v>
      </c>
      <c r="E674" s="342" t="s">
        <v>638</v>
      </c>
      <c r="F674" s="342" t="s">
        <v>1488</v>
      </c>
      <c r="G674" s="342" t="s">
        <v>805</v>
      </c>
      <c r="H674" s="342" t="s">
        <v>813</v>
      </c>
    </row>
    <row r="675" spans="1:8" x14ac:dyDescent="0.25">
      <c r="A675" s="343">
        <v>243</v>
      </c>
      <c r="B675" s="343">
        <v>64275</v>
      </c>
      <c r="C675" s="342" t="s">
        <v>697</v>
      </c>
      <c r="D675" s="342" t="s">
        <v>877</v>
      </c>
      <c r="E675" s="342" t="s">
        <v>613</v>
      </c>
      <c r="F675" s="342" t="s">
        <v>1489</v>
      </c>
      <c r="G675" s="342" t="s">
        <v>695</v>
      </c>
      <c r="H675" s="342" t="s">
        <v>696</v>
      </c>
    </row>
    <row r="676" spans="1:8" x14ac:dyDescent="0.25">
      <c r="A676" s="343">
        <v>158</v>
      </c>
      <c r="B676" s="343">
        <v>46035</v>
      </c>
      <c r="C676" s="342" t="s">
        <v>697</v>
      </c>
      <c r="D676" s="342" t="s">
        <v>774</v>
      </c>
      <c r="E676" s="342" t="s">
        <v>523</v>
      </c>
      <c r="F676" s="342" t="s">
        <v>1490</v>
      </c>
      <c r="G676" s="342" t="s">
        <v>695</v>
      </c>
      <c r="H676" s="342" t="s">
        <v>696</v>
      </c>
    </row>
    <row r="677" spans="1:8" x14ac:dyDescent="0.25">
      <c r="A677" s="343">
        <v>504</v>
      </c>
      <c r="B677" s="343">
        <v>64061</v>
      </c>
      <c r="C677" s="342" t="s">
        <v>697</v>
      </c>
      <c r="D677" s="342" t="s">
        <v>774</v>
      </c>
      <c r="E677" s="342" t="s">
        <v>523</v>
      </c>
      <c r="F677" s="342" t="s">
        <v>1491</v>
      </c>
      <c r="G677" s="342" t="s">
        <v>695</v>
      </c>
      <c r="H677" s="342" t="s">
        <v>1492</v>
      </c>
    </row>
    <row r="678" spans="1:8" x14ac:dyDescent="0.25">
      <c r="A678" s="343">
        <v>505</v>
      </c>
      <c r="B678" s="343">
        <v>64062</v>
      </c>
      <c r="C678" s="342" t="s">
        <v>697</v>
      </c>
      <c r="D678" s="342" t="s">
        <v>774</v>
      </c>
      <c r="E678" s="342" t="s">
        <v>523</v>
      </c>
      <c r="F678" s="342" t="s">
        <v>1493</v>
      </c>
      <c r="G678" s="342" t="s">
        <v>737</v>
      </c>
      <c r="H678" s="342" t="s">
        <v>738</v>
      </c>
    </row>
    <row r="679" spans="1:8" x14ac:dyDescent="0.25">
      <c r="A679" s="343">
        <v>980</v>
      </c>
      <c r="B679" s="343">
        <v>67657</v>
      </c>
      <c r="C679" s="342" t="s">
        <v>706</v>
      </c>
      <c r="D679" s="342" t="s">
        <v>720</v>
      </c>
      <c r="E679" s="342" t="s">
        <v>638</v>
      </c>
      <c r="F679" s="342" t="s">
        <v>1494</v>
      </c>
      <c r="G679" s="342" t="s">
        <v>805</v>
      </c>
      <c r="H679" s="342" t="s">
        <v>806</v>
      </c>
    </row>
    <row r="680" spans="1:8" x14ac:dyDescent="0.25">
      <c r="A680" s="343">
        <v>706</v>
      </c>
      <c r="B680" s="343">
        <v>64063</v>
      </c>
      <c r="C680" s="342" t="s">
        <v>697</v>
      </c>
      <c r="D680" s="342" t="s">
        <v>774</v>
      </c>
      <c r="E680" s="342" t="s">
        <v>523</v>
      </c>
      <c r="F680" s="342" t="s">
        <v>1495</v>
      </c>
      <c r="G680" s="342" t="s">
        <v>805</v>
      </c>
      <c r="H680" s="342" t="s">
        <v>806</v>
      </c>
    </row>
    <row r="681" spans="1:8" x14ac:dyDescent="0.25">
      <c r="A681" s="343">
        <v>918</v>
      </c>
      <c r="B681" s="343">
        <v>66198</v>
      </c>
      <c r="C681" s="342" t="s">
        <v>706</v>
      </c>
      <c r="D681" s="342" t="s">
        <v>720</v>
      </c>
      <c r="E681" s="342" t="s">
        <v>519</v>
      </c>
      <c r="F681" s="342" t="s">
        <v>1496</v>
      </c>
      <c r="G681" s="342" t="s">
        <v>695</v>
      </c>
      <c r="H681" s="342" t="s">
        <v>705</v>
      </c>
    </row>
    <row r="682" spans="1:8" x14ac:dyDescent="0.25">
      <c r="A682" s="343">
        <v>947</v>
      </c>
      <c r="B682" s="343">
        <v>48094</v>
      </c>
      <c r="C682" s="342" t="s">
        <v>789</v>
      </c>
      <c r="D682" s="342" t="s">
        <v>818</v>
      </c>
      <c r="E682" s="342" t="s">
        <v>401</v>
      </c>
      <c r="F682" s="342" t="s">
        <v>1497</v>
      </c>
      <c r="G682" s="342" t="s">
        <v>805</v>
      </c>
      <c r="H682" s="342" t="s">
        <v>813</v>
      </c>
    </row>
    <row r="683" spans="1:8" x14ac:dyDescent="0.25">
      <c r="A683" s="343">
        <v>1007</v>
      </c>
      <c r="B683" s="343">
        <v>67895</v>
      </c>
      <c r="C683" s="342" t="s">
        <v>779</v>
      </c>
      <c r="D683" s="342" t="s">
        <v>780</v>
      </c>
      <c r="E683" s="342" t="s">
        <v>570</v>
      </c>
      <c r="F683" s="342" t="s">
        <v>1498</v>
      </c>
      <c r="G683" s="342" t="s">
        <v>805</v>
      </c>
      <c r="H683" s="342" t="s">
        <v>883</v>
      </c>
    </row>
    <row r="684" spans="1:8" x14ac:dyDescent="0.25">
      <c r="A684" s="343">
        <v>481</v>
      </c>
      <c r="B684" s="343">
        <v>64032</v>
      </c>
      <c r="C684" s="342" t="s">
        <v>789</v>
      </c>
      <c r="D684" s="342" t="s">
        <v>790</v>
      </c>
      <c r="E684" s="342" t="s">
        <v>515</v>
      </c>
      <c r="F684" s="342" t="s">
        <v>1499</v>
      </c>
      <c r="G684" s="342" t="s">
        <v>805</v>
      </c>
      <c r="H684" s="342" t="s">
        <v>883</v>
      </c>
    </row>
    <row r="685" spans="1:8" x14ac:dyDescent="0.25">
      <c r="A685" s="343">
        <v>883</v>
      </c>
      <c r="B685" s="343">
        <v>67918</v>
      </c>
      <c r="C685" s="342" t="s">
        <v>706</v>
      </c>
      <c r="D685" s="342" t="s">
        <v>707</v>
      </c>
      <c r="E685" s="342" t="s">
        <v>554</v>
      </c>
      <c r="F685" s="342" t="s">
        <v>1500</v>
      </c>
      <c r="G685" s="342" t="s">
        <v>805</v>
      </c>
      <c r="H685" s="342" t="s">
        <v>883</v>
      </c>
    </row>
    <row r="686" spans="1:8" x14ac:dyDescent="0.25">
      <c r="A686" s="343">
        <v>950</v>
      </c>
      <c r="B686" s="343">
        <v>3594</v>
      </c>
      <c r="C686" s="342" t="s">
        <v>789</v>
      </c>
      <c r="D686" s="342" t="s">
        <v>818</v>
      </c>
      <c r="E686" s="342" t="s">
        <v>410</v>
      </c>
      <c r="F686" s="342" t="s">
        <v>1501</v>
      </c>
      <c r="G686" s="342" t="s">
        <v>1099</v>
      </c>
      <c r="H686" s="342" t="s">
        <v>1100</v>
      </c>
    </row>
    <row r="687" spans="1:8" x14ac:dyDescent="0.25">
      <c r="A687" s="343">
        <v>148</v>
      </c>
      <c r="B687" s="343">
        <v>49</v>
      </c>
      <c r="C687" s="342" t="s">
        <v>832</v>
      </c>
      <c r="D687" s="342" t="s">
        <v>837</v>
      </c>
      <c r="E687" s="342" t="s">
        <v>512</v>
      </c>
      <c r="F687" s="342" t="s">
        <v>1502</v>
      </c>
      <c r="G687" s="342" t="s">
        <v>695</v>
      </c>
      <c r="H687" s="342" t="s">
        <v>696</v>
      </c>
    </row>
    <row r="688" spans="1:8" x14ac:dyDescent="0.25">
      <c r="A688" s="343">
        <v>507</v>
      </c>
      <c r="B688" s="343">
        <v>64264</v>
      </c>
      <c r="C688" s="342" t="s">
        <v>822</v>
      </c>
      <c r="D688" s="342" t="s">
        <v>823</v>
      </c>
      <c r="E688" s="342" t="s">
        <v>649</v>
      </c>
      <c r="F688" s="342" t="s">
        <v>1503</v>
      </c>
      <c r="G688" s="342" t="s">
        <v>695</v>
      </c>
      <c r="H688" s="342" t="s">
        <v>1504</v>
      </c>
    </row>
    <row r="689" spans="1:8" x14ac:dyDescent="0.25">
      <c r="A689" s="343">
        <v>756</v>
      </c>
      <c r="B689" s="343">
        <v>64873</v>
      </c>
      <c r="C689" s="342" t="s">
        <v>767</v>
      </c>
      <c r="D689" s="342" t="s">
        <v>770</v>
      </c>
      <c r="E689" s="342" t="s">
        <v>634</v>
      </c>
      <c r="F689" s="342" t="s">
        <v>1505</v>
      </c>
      <c r="G689" s="342" t="s">
        <v>695</v>
      </c>
      <c r="H689" s="342" t="s">
        <v>726</v>
      </c>
    </row>
    <row r="690" spans="1:8" x14ac:dyDescent="0.25">
      <c r="A690" s="343">
        <v>951</v>
      </c>
      <c r="B690" s="343">
        <v>13785</v>
      </c>
      <c r="C690" s="342" t="s">
        <v>697</v>
      </c>
      <c r="D690" s="342" t="s">
        <v>714</v>
      </c>
      <c r="E690" s="342" t="s">
        <v>412</v>
      </c>
      <c r="F690" s="342" t="s">
        <v>1506</v>
      </c>
      <c r="G690" s="342" t="s">
        <v>805</v>
      </c>
      <c r="H690" s="342" t="s">
        <v>813</v>
      </c>
    </row>
    <row r="691" spans="1:8" x14ac:dyDescent="0.25">
      <c r="A691" s="343">
        <v>974</v>
      </c>
      <c r="B691" s="343">
        <v>12596</v>
      </c>
      <c r="C691" s="342" t="s">
        <v>767</v>
      </c>
      <c r="D691" s="342" t="s">
        <v>895</v>
      </c>
      <c r="E691" s="342" t="s">
        <v>609</v>
      </c>
      <c r="F691" s="342" t="s">
        <v>1507</v>
      </c>
      <c r="G691" s="342" t="s">
        <v>805</v>
      </c>
      <c r="H691" s="342" t="s">
        <v>813</v>
      </c>
    </row>
    <row r="692" spans="1:8" x14ac:dyDescent="0.25">
      <c r="A692" s="343">
        <v>189</v>
      </c>
      <c r="B692" s="343">
        <v>46558</v>
      </c>
      <c r="C692" s="342" t="s">
        <v>697</v>
      </c>
      <c r="D692" s="342" t="s">
        <v>772</v>
      </c>
      <c r="E692" s="342" t="s">
        <v>555</v>
      </c>
      <c r="F692" s="342" t="s">
        <v>1508</v>
      </c>
      <c r="G692" s="342" t="s">
        <v>695</v>
      </c>
      <c r="H692" s="342" t="s">
        <v>696</v>
      </c>
    </row>
    <row r="693" spans="1:8" x14ac:dyDescent="0.25">
      <c r="A693" s="343">
        <v>76</v>
      </c>
      <c r="B693" s="343">
        <v>48898</v>
      </c>
      <c r="C693" s="342" t="s">
        <v>832</v>
      </c>
      <c r="D693" s="342" t="s">
        <v>837</v>
      </c>
      <c r="E693" s="342" t="s">
        <v>439</v>
      </c>
      <c r="F693" s="342" t="s">
        <v>1509</v>
      </c>
      <c r="G693" s="342" t="s">
        <v>695</v>
      </c>
      <c r="H693" s="342" t="s">
        <v>696</v>
      </c>
    </row>
    <row r="694" spans="1:8" x14ac:dyDescent="0.25">
      <c r="A694" s="343">
        <v>256</v>
      </c>
      <c r="B694" s="343">
        <v>289</v>
      </c>
      <c r="C694" s="342" t="s">
        <v>697</v>
      </c>
      <c r="D694" s="342" t="s">
        <v>877</v>
      </c>
      <c r="E694" s="342" t="s">
        <v>628</v>
      </c>
      <c r="F694" s="342" t="s">
        <v>1510</v>
      </c>
      <c r="G694" s="342" t="s">
        <v>695</v>
      </c>
      <c r="H694" s="342" t="s">
        <v>696</v>
      </c>
    </row>
    <row r="695" spans="1:8" x14ac:dyDescent="0.25">
      <c r="A695" s="343">
        <v>718</v>
      </c>
      <c r="B695" s="343">
        <v>64190</v>
      </c>
      <c r="C695" s="342" t="s">
        <v>701</v>
      </c>
      <c r="D695" s="342" t="s">
        <v>749</v>
      </c>
      <c r="E695" s="342" t="s">
        <v>565</v>
      </c>
      <c r="F695" s="342" t="s">
        <v>1511</v>
      </c>
      <c r="G695" s="342" t="s">
        <v>1099</v>
      </c>
      <c r="H695" s="342" t="s">
        <v>1100</v>
      </c>
    </row>
    <row r="696" spans="1:8" x14ac:dyDescent="0.25">
      <c r="A696" s="343">
        <v>880</v>
      </c>
      <c r="B696" s="343">
        <v>67169</v>
      </c>
      <c r="C696" s="342" t="s">
        <v>701</v>
      </c>
      <c r="D696" s="342" t="s">
        <v>835</v>
      </c>
      <c r="E696" s="342" t="s">
        <v>513</v>
      </c>
      <c r="F696" s="342" t="s">
        <v>1512</v>
      </c>
      <c r="G696" s="342" t="s">
        <v>695</v>
      </c>
      <c r="H696" s="342" t="s">
        <v>726</v>
      </c>
    </row>
    <row r="697" spans="1:8" x14ac:dyDescent="0.25">
      <c r="A697" s="343">
        <v>941</v>
      </c>
      <c r="B697" s="343">
        <v>67875</v>
      </c>
      <c r="C697" s="342" t="s">
        <v>701</v>
      </c>
      <c r="D697" s="342" t="s">
        <v>744</v>
      </c>
      <c r="E697" s="342" t="s">
        <v>371</v>
      </c>
      <c r="F697" s="342" t="s">
        <v>1513</v>
      </c>
      <c r="G697" s="342" t="s">
        <v>1099</v>
      </c>
      <c r="H697" s="342" t="s">
        <v>1100</v>
      </c>
    </row>
    <row r="698" spans="1:8" x14ac:dyDescent="0.25">
      <c r="A698" s="343">
        <v>52</v>
      </c>
      <c r="B698" s="343">
        <v>267</v>
      </c>
      <c r="C698" s="342" t="s">
        <v>697</v>
      </c>
      <c r="D698" s="342" t="s">
        <v>714</v>
      </c>
      <c r="E698" s="342" t="s">
        <v>412</v>
      </c>
      <c r="F698" s="342" t="s">
        <v>1514</v>
      </c>
      <c r="G698" s="342" t="s">
        <v>695</v>
      </c>
      <c r="H698" s="342" t="s">
        <v>696</v>
      </c>
    </row>
    <row r="699" spans="1:8" x14ac:dyDescent="0.25">
      <c r="A699" s="343">
        <v>120</v>
      </c>
      <c r="B699" s="343">
        <v>48916</v>
      </c>
      <c r="C699" s="342" t="s">
        <v>740</v>
      </c>
      <c r="D699" s="342" t="s">
        <v>765</v>
      </c>
      <c r="E699" s="342" t="s">
        <v>482</v>
      </c>
      <c r="F699" s="342" t="s">
        <v>1515</v>
      </c>
      <c r="G699" s="342" t="s">
        <v>695</v>
      </c>
      <c r="H699" s="342" t="s">
        <v>696</v>
      </c>
    </row>
    <row r="700" spans="1:8" x14ac:dyDescent="0.25">
      <c r="A700" s="343">
        <v>198</v>
      </c>
      <c r="B700" s="343">
        <v>24723</v>
      </c>
      <c r="C700" s="342" t="s">
        <v>767</v>
      </c>
      <c r="D700" s="342" t="s">
        <v>860</v>
      </c>
      <c r="E700" s="342" t="s">
        <v>564</v>
      </c>
      <c r="F700" s="342" t="s">
        <v>1516</v>
      </c>
      <c r="G700" s="342" t="s">
        <v>695</v>
      </c>
      <c r="H700" s="342" t="s">
        <v>696</v>
      </c>
    </row>
    <row r="701" spans="1:8" x14ac:dyDescent="0.25">
      <c r="A701" s="343">
        <v>368</v>
      </c>
      <c r="B701" s="343">
        <v>278</v>
      </c>
      <c r="C701" s="342" t="s">
        <v>740</v>
      </c>
      <c r="D701" s="342" t="s">
        <v>765</v>
      </c>
      <c r="E701" s="342" t="s">
        <v>413</v>
      </c>
      <c r="F701" s="342" t="s">
        <v>1517</v>
      </c>
      <c r="G701" s="342" t="s">
        <v>695</v>
      </c>
      <c r="H701" s="342" t="s">
        <v>696</v>
      </c>
    </row>
    <row r="702" spans="1:8" x14ac:dyDescent="0.25">
      <c r="A702" s="343">
        <v>140</v>
      </c>
      <c r="B702" s="343">
        <v>63960</v>
      </c>
      <c r="C702" s="342" t="s">
        <v>701</v>
      </c>
      <c r="D702" s="342" t="s">
        <v>724</v>
      </c>
      <c r="E702" s="342" t="s">
        <v>504</v>
      </c>
      <c r="F702" s="342" t="s">
        <v>1518</v>
      </c>
      <c r="G702" s="342" t="s">
        <v>695</v>
      </c>
      <c r="H702" s="342" t="s">
        <v>696</v>
      </c>
    </row>
    <row r="703" spans="1:8" x14ac:dyDescent="0.25">
      <c r="A703" s="343">
        <v>293</v>
      </c>
      <c r="B703" s="343">
        <v>57726</v>
      </c>
      <c r="C703" s="342" t="s">
        <v>740</v>
      </c>
      <c r="D703" s="342" t="s">
        <v>765</v>
      </c>
      <c r="E703" s="342" t="s">
        <v>663</v>
      </c>
      <c r="F703" s="342" t="s">
        <v>1519</v>
      </c>
      <c r="G703" s="342" t="s">
        <v>695</v>
      </c>
      <c r="H703" s="342" t="s">
        <v>696</v>
      </c>
    </row>
    <row r="704" spans="1:8" x14ac:dyDescent="0.25">
      <c r="A704" s="343">
        <v>906</v>
      </c>
      <c r="B704" s="343">
        <v>51470</v>
      </c>
      <c r="C704" s="342" t="s">
        <v>706</v>
      </c>
      <c r="D704" s="342" t="s">
        <v>720</v>
      </c>
      <c r="E704" s="342" t="s">
        <v>545</v>
      </c>
      <c r="F704" s="342" t="s">
        <v>1520</v>
      </c>
      <c r="G704" s="342" t="s">
        <v>695</v>
      </c>
      <c r="H704" s="342" t="s">
        <v>1253</v>
      </c>
    </row>
    <row r="705" spans="1:8" x14ac:dyDescent="0.25">
      <c r="A705" s="343">
        <v>250</v>
      </c>
      <c r="B705" s="343">
        <v>48926</v>
      </c>
      <c r="C705" s="342" t="s">
        <v>767</v>
      </c>
      <c r="D705" s="342" t="s">
        <v>953</v>
      </c>
      <c r="E705" s="342" t="s">
        <v>621</v>
      </c>
      <c r="F705" s="342" t="s">
        <v>1521</v>
      </c>
      <c r="G705" s="342" t="s">
        <v>695</v>
      </c>
      <c r="H705" s="342" t="s">
        <v>696</v>
      </c>
    </row>
    <row r="706" spans="1:8" x14ac:dyDescent="0.25">
      <c r="A706" s="343">
        <v>244</v>
      </c>
      <c r="B706" s="343">
        <v>1505</v>
      </c>
      <c r="C706" s="342" t="s">
        <v>789</v>
      </c>
      <c r="D706" s="342" t="s">
        <v>790</v>
      </c>
      <c r="E706" s="342" t="s">
        <v>614</v>
      </c>
      <c r="F706" s="342" t="s">
        <v>1522</v>
      </c>
      <c r="G706" s="342" t="s">
        <v>695</v>
      </c>
      <c r="H706" s="342" t="s">
        <v>696</v>
      </c>
    </row>
    <row r="707" spans="1:8" x14ac:dyDescent="0.25">
      <c r="A707" s="343">
        <v>881</v>
      </c>
      <c r="B707" s="343">
        <v>66223</v>
      </c>
      <c r="C707" s="342" t="s">
        <v>789</v>
      </c>
      <c r="D707" s="342" t="s">
        <v>818</v>
      </c>
      <c r="E707" s="342" t="s">
        <v>664</v>
      </c>
      <c r="F707" s="342" t="s">
        <v>1523</v>
      </c>
      <c r="G707" s="342" t="s">
        <v>805</v>
      </c>
      <c r="H707" s="342" t="s">
        <v>806</v>
      </c>
    </row>
    <row r="708" spans="1:8" x14ac:dyDescent="0.25">
      <c r="A708" s="343">
        <v>485</v>
      </c>
      <c r="B708" s="343">
        <v>63848</v>
      </c>
      <c r="C708" s="342" t="s">
        <v>789</v>
      </c>
      <c r="D708" s="342" t="s">
        <v>818</v>
      </c>
      <c r="E708" s="342" t="s">
        <v>401</v>
      </c>
      <c r="F708" s="342" t="s">
        <v>1524</v>
      </c>
      <c r="G708" s="342" t="s">
        <v>695</v>
      </c>
      <c r="H708" s="342" t="s">
        <v>705</v>
      </c>
    </row>
    <row r="709" spans="1:8" x14ac:dyDescent="0.25">
      <c r="A709" s="343">
        <v>641</v>
      </c>
      <c r="B709" s="343">
        <v>63849</v>
      </c>
      <c r="C709" s="342" t="s">
        <v>789</v>
      </c>
      <c r="D709" s="342" t="s">
        <v>818</v>
      </c>
      <c r="E709" s="342" t="s">
        <v>401</v>
      </c>
      <c r="F709" s="342" t="s">
        <v>1525</v>
      </c>
      <c r="G709" s="342" t="s">
        <v>695</v>
      </c>
      <c r="H709" s="342" t="s">
        <v>1526</v>
      </c>
    </row>
    <row r="710" spans="1:8" x14ac:dyDescent="0.25">
      <c r="A710" s="343">
        <v>806</v>
      </c>
      <c r="B710" s="343">
        <v>32</v>
      </c>
      <c r="C710" s="342" t="s">
        <v>767</v>
      </c>
      <c r="D710" s="342" t="s">
        <v>895</v>
      </c>
      <c r="E710" s="342" t="s">
        <v>431</v>
      </c>
      <c r="F710" s="342" t="s">
        <v>1527</v>
      </c>
      <c r="G710" s="342" t="s">
        <v>695</v>
      </c>
      <c r="H710" s="342" t="s">
        <v>966</v>
      </c>
    </row>
    <row r="711" spans="1:8" x14ac:dyDescent="0.25">
      <c r="A711" s="343">
        <v>116</v>
      </c>
      <c r="B711" s="343">
        <v>63944</v>
      </c>
      <c r="C711" s="342" t="s">
        <v>832</v>
      </c>
      <c r="D711" s="342" t="s">
        <v>833</v>
      </c>
      <c r="E711" s="342" t="s">
        <v>478</v>
      </c>
      <c r="F711" s="342" t="s">
        <v>1528</v>
      </c>
      <c r="G711" s="342" t="s">
        <v>695</v>
      </c>
      <c r="H711" s="342" t="s">
        <v>696</v>
      </c>
    </row>
    <row r="712" spans="1:8" x14ac:dyDescent="0.25">
      <c r="A712" s="343">
        <v>323</v>
      </c>
      <c r="B712" s="343">
        <v>64031</v>
      </c>
      <c r="C712" s="342" t="s">
        <v>692</v>
      </c>
      <c r="D712" s="342" t="s">
        <v>693</v>
      </c>
      <c r="E712" s="342" t="s">
        <v>643</v>
      </c>
      <c r="F712" s="342" t="s">
        <v>1529</v>
      </c>
      <c r="G712" s="342" t="s">
        <v>695</v>
      </c>
      <c r="H712" s="342" t="s">
        <v>696</v>
      </c>
    </row>
    <row r="713" spans="1:8" x14ac:dyDescent="0.25">
      <c r="A713" s="343">
        <v>328</v>
      </c>
      <c r="B713" s="343">
        <v>259</v>
      </c>
      <c r="C713" s="342" t="s">
        <v>692</v>
      </c>
      <c r="D713" s="342" t="s">
        <v>693</v>
      </c>
      <c r="E713" s="342" t="s">
        <v>643</v>
      </c>
      <c r="F713" s="342" t="s">
        <v>238</v>
      </c>
      <c r="G713" s="342" t="s">
        <v>695</v>
      </c>
      <c r="H713" s="342" t="s">
        <v>700</v>
      </c>
    </row>
    <row r="714" spans="1:8" x14ac:dyDescent="0.25">
      <c r="A714" s="343">
        <v>353</v>
      </c>
      <c r="B714" s="343">
        <v>64329</v>
      </c>
      <c r="C714" s="342" t="s">
        <v>692</v>
      </c>
      <c r="D714" s="342" t="s">
        <v>693</v>
      </c>
      <c r="E714" s="342" t="s">
        <v>643</v>
      </c>
      <c r="F714" s="342" t="s">
        <v>1530</v>
      </c>
      <c r="G714" s="342" t="s">
        <v>695</v>
      </c>
      <c r="H714" s="342" t="s">
        <v>705</v>
      </c>
    </row>
    <row r="715" spans="1:8" x14ac:dyDescent="0.25">
      <c r="A715" s="343">
        <v>372</v>
      </c>
      <c r="B715" s="343">
        <v>64162</v>
      </c>
      <c r="C715" s="342" t="s">
        <v>692</v>
      </c>
      <c r="D715" s="342" t="s">
        <v>693</v>
      </c>
      <c r="E715" s="342" t="s">
        <v>643</v>
      </c>
      <c r="F715" s="342" t="s">
        <v>1531</v>
      </c>
      <c r="G715" s="342" t="s">
        <v>695</v>
      </c>
      <c r="H715" s="342" t="s">
        <v>696</v>
      </c>
    </row>
    <row r="716" spans="1:8" x14ac:dyDescent="0.25">
      <c r="A716" s="343">
        <v>559</v>
      </c>
      <c r="B716" s="343">
        <v>64727</v>
      </c>
      <c r="C716" s="342" t="s">
        <v>692</v>
      </c>
      <c r="D716" s="342" t="s">
        <v>693</v>
      </c>
      <c r="E716" s="342" t="s">
        <v>643</v>
      </c>
      <c r="F716" s="342" t="s">
        <v>1532</v>
      </c>
      <c r="G716" s="342" t="s">
        <v>695</v>
      </c>
      <c r="H716" s="342" t="s">
        <v>1045</v>
      </c>
    </row>
    <row r="717" spans="1:8" x14ac:dyDescent="0.25">
      <c r="A717" s="343">
        <v>629</v>
      </c>
      <c r="B717" s="343">
        <v>291</v>
      </c>
      <c r="C717" s="342" t="s">
        <v>692</v>
      </c>
      <c r="D717" s="342" t="s">
        <v>693</v>
      </c>
      <c r="E717" s="342" t="s">
        <v>643</v>
      </c>
      <c r="F717" s="342" t="s">
        <v>1533</v>
      </c>
      <c r="G717" s="342" t="s">
        <v>695</v>
      </c>
      <c r="H717" s="342" t="s">
        <v>705</v>
      </c>
    </row>
    <row r="718" spans="1:8" x14ac:dyDescent="0.25">
      <c r="A718" s="343">
        <v>741</v>
      </c>
      <c r="B718" s="343">
        <v>54854</v>
      </c>
      <c r="C718" s="342" t="s">
        <v>692</v>
      </c>
      <c r="D718" s="342" t="s">
        <v>693</v>
      </c>
      <c r="E718" s="342" t="s">
        <v>643</v>
      </c>
      <c r="F718" s="342" t="s">
        <v>1534</v>
      </c>
      <c r="G718" s="342" t="s">
        <v>695</v>
      </c>
      <c r="H718" s="342" t="s">
        <v>966</v>
      </c>
    </row>
    <row r="719" spans="1:8" x14ac:dyDescent="0.25">
      <c r="A719" s="343">
        <v>987</v>
      </c>
      <c r="B719" s="343">
        <v>26206</v>
      </c>
      <c r="C719" s="342" t="s">
        <v>692</v>
      </c>
      <c r="D719" s="342" t="s">
        <v>693</v>
      </c>
      <c r="E719" s="342" t="s">
        <v>643</v>
      </c>
      <c r="F719" s="342" t="s">
        <v>1535</v>
      </c>
      <c r="G719" s="342" t="s">
        <v>805</v>
      </c>
      <c r="H719" s="342" t="s">
        <v>1536</v>
      </c>
    </row>
    <row r="720" spans="1:8" x14ac:dyDescent="0.25">
      <c r="A720" s="343">
        <v>988</v>
      </c>
      <c r="B720" s="343">
        <v>68201</v>
      </c>
      <c r="C720" s="342" t="s">
        <v>692</v>
      </c>
      <c r="D720" s="342" t="s">
        <v>693</v>
      </c>
      <c r="E720" s="342" t="s">
        <v>643</v>
      </c>
      <c r="F720" s="342" t="s">
        <v>1537</v>
      </c>
      <c r="G720" s="342" t="s">
        <v>805</v>
      </c>
      <c r="H720" s="342" t="s">
        <v>806</v>
      </c>
    </row>
    <row r="721" spans="1:8" x14ac:dyDescent="0.25">
      <c r="A721" s="343">
        <v>990</v>
      </c>
      <c r="B721" s="343">
        <v>67868</v>
      </c>
      <c r="C721" s="342" t="s">
        <v>692</v>
      </c>
      <c r="D721" s="342" t="s">
        <v>693</v>
      </c>
      <c r="E721" s="342" t="s">
        <v>643</v>
      </c>
      <c r="F721" s="342" t="s">
        <v>1538</v>
      </c>
      <c r="G721" s="342" t="s">
        <v>805</v>
      </c>
      <c r="H721" s="342" t="s">
        <v>806</v>
      </c>
    </row>
    <row r="722" spans="1:8" x14ac:dyDescent="0.25">
      <c r="A722" s="343">
        <v>991</v>
      </c>
      <c r="B722" s="343">
        <v>67880</v>
      </c>
      <c r="C722" s="342" t="s">
        <v>692</v>
      </c>
      <c r="D722" s="342" t="s">
        <v>693</v>
      </c>
      <c r="E722" s="342" t="s">
        <v>643</v>
      </c>
      <c r="F722" s="342" t="s">
        <v>1539</v>
      </c>
      <c r="G722" s="342" t="s">
        <v>805</v>
      </c>
      <c r="H722" s="342" t="s">
        <v>806</v>
      </c>
    </row>
    <row r="723" spans="1:8" x14ac:dyDescent="0.25">
      <c r="A723" s="343">
        <v>995</v>
      </c>
      <c r="B723" s="343">
        <v>67861</v>
      </c>
      <c r="C723" s="342" t="s">
        <v>692</v>
      </c>
      <c r="D723" s="342" t="s">
        <v>693</v>
      </c>
      <c r="E723" s="342" t="s">
        <v>643</v>
      </c>
      <c r="F723" s="342" t="s">
        <v>1540</v>
      </c>
      <c r="G723" s="342" t="s">
        <v>805</v>
      </c>
      <c r="H723" s="342" t="s">
        <v>806</v>
      </c>
    </row>
    <row r="724" spans="1:8" x14ac:dyDescent="0.25">
      <c r="A724" s="343">
        <v>996</v>
      </c>
      <c r="B724" s="343">
        <v>67584</v>
      </c>
      <c r="C724" s="342" t="s">
        <v>692</v>
      </c>
      <c r="D724" s="342" t="s">
        <v>693</v>
      </c>
      <c r="E724" s="342" t="s">
        <v>643</v>
      </c>
      <c r="F724" s="342" t="s">
        <v>1541</v>
      </c>
      <c r="G724" s="342" t="s">
        <v>805</v>
      </c>
      <c r="H724" s="342" t="s">
        <v>1542</v>
      </c>
    </row>
    <row r="725" spans="1:8" x14ac:dyDescent="0.25">
      <c r="A725" s="343">
        <v>253</v>
      </c>
      <c r="B725" s="343">
        <v>147</v>
      </c>
      <c r="C725" s="342" t="s">
        <v>692</v>
      </c>
      <c r="D725" s="342" t="s">
        <v>901</v>
      </c>
      <c r="E725" s="342" t="s">
        <v>624</v>
      </c>
      <c r="F725" s="342" t="s">
        <v>1543</v>
      </c>
      <c r="G725" s="342" t="s">
        <v>695</v>
      </c>
      <c r="H725" s="342" t="s">
        <v>696</v>
      </c>
    </row>
    <row r="726" spans="1:8" x14ac:dyDescent="0.25">
      <c r="A726" s="343">
        <v>421</v>
      </c>
      <c r="B726" s="343">
        <v>64152</v>
      </c>
      <c r="C726" s="342" t="s">
        <v>740</v>
      </c>
      <c r="D726" s="342" t="s">
        <v>920</v>
      </c>
      <c r="E726" s="342" t="s">
        <v>392</v>
      </c>
      <c r="F726" s="342" t="s">
        <v>1544</v>
      </c>
      <c r="G726" s="342" t="s">
        <v>695</v>
      </c>
      <c r="H726" s="342" t="s">
        <v>734</v>
      </c>
    </row>
    <row r="727" spans="1:8" x14ac:dyDescent="0.25">
      <c r="A727" s="343">
        <v>464</v>
      </c>
      <c r="B727" s="343">
        <v>63966</v>
      </c>
      <c r="C727" s="342" t="s">
        <v>740</v>
      </c>
      <c r="D727" s="342" t="s">
        <v>920</v>
      </c>
      <c r="E727" s="342" t="s">
        <v>494</v>
      </c>
      <c r="F727" s="342" t="s">
        <v>1545</v>
      </c>
      <c r="G727" s="342" t="s">
        <v>695</v>
      </c>
      <c r="H727" s="342" t="s">
        <v>787</v>
      </c>
    </row>
    <row r="728" spans="1:8" x14ac:dyDescent="0.25">
      <c r="A728" s="343">
        <v>545</v>
      </c>
      <c r="B728" s="343">
        <v>64027</v>
      </c>
      <c r="C728" s="342" t="s">
        <v>740</v>
      </c>
      <c r="D728" s="342" t="s">
        <v>920</v>
      </c>
      <c r="E728" s="342" t="s">
        <v>494</v>
      </c>
      <c r="F728" s="342" t="s">
        <v>1546</v>
      </c>
      <c r="G728" s="342" t="s">
        <v>805</v>
      </c>
      <c r="H728" s="342" t="s">
        <v>806</v>
      </c>
    </row>
    <row r="729" spans="1:8" x14ac:dyDescent="0.25">
      <c r="A729" s="343">
        <v>625</v>
      </c>
      <c r="B729" s="343">
        <v>182</v>
      </c>
      <c r="C729" s="342" t="s">
        <v>692</v>
      </c>
      <c r="D729" s="342" t="s">
        <v>722</v>
      </c>
      <c r="E729" s="342" t="s">
        <v>383</v>
      </c>
      <c r="F729" s="342" t="s">
        <v>1547</v>
      </c>
      <c r="G729" s="342" t="s">
        <v>695</v>
      </c>
      <c r="H729" s="342" t="s">
        <v>726</v>
      </c>
    </row>
    <row r="730" spans="1:8" x14ac:dyDescent="0.25">
      <c r="A730" s="343">
        <v>667</v>
      </c>
      <c r="B730" s="343">
        <v>63792</v>
      </c>
      <c r="C730" s="342" t="s">
        <v>692</v>
      </c>
      <c r="D730" s="342" t="s">
        <v>901</v>
      </c>
      <c r="E730" s="342" t="s">
        <v>373</v>
      </c>
      <c r="F730" s="342" t="s">
        <v>1548</v>
      </c>
      <c r="G730" s="342" t="s">
        <v>805</v>
      </c>
      <c r="H730" s="342" t="s">
        <v>883</v>
      </c>
    </row>
    <row r="731" spans="1:8" x14ac:dyDescent="0.25">
      <c r="A731" s="343">
        <v>692</v>
      </c>
      <c r="B731" s="343">
        <v>63915</v>
      </c>
      <c r="C731" s="342" t="s">
        <v>692</v>
      </c>
      <c r="D731" s="342" t="s">
        <v>901</v>
      </c>
      <c r="E731" s="342" t="s">
        <v>463</v>
      </c>
      <c r="F731" s="342" t="s">
        <v>1549</v>
      </c>
      <c r="G731" s="342" t="s">
        <v>805</v>
      </c>
      <c r="H731" s="342" t="s">
        <v>806</v>
      </c>
    </row>
    <row r="732" spans="1:8" x14ac:dyDescent="0.25">
      <c r="A732" s="343">
        <v>755</v>
      </c>
      <c r="B732" s="343">
        <v>64334</v>
      </c>
      <c r="C732" s="342" t="s">
        <v>692</v>
      </c>
      <c r="D732" s="342" t="s">
        <v>827</v>
      </c>
      <c r="E732" s="342" t="s">
        <v>633</v>
      </c>
      <c r="F732" s="342" t="s">
        <v>1550</v>
      </c>
      <c r="G732" s="342" t="s">
        <v>805</v>
      </c>
      <c r="H732" s="342" t="s">
        <v>806</v>
      </c>
    </row>
    <row r="733" spans="1:8" x14ac:dyDescent="0.25">
      <c r="A733" s="343">
        <v>860</v>
      </c>
      <c r="B733" s="343">
        <v>66272</v>
      </c>
      <c r="C733" s="342" t="s">
        <v>740</v>
      </c>
      <c r="D733" s="342" t="s">
        <v>920</v>
      </c>
      <c r="E733" s="342" t="s">
        <v>392</v>
      </c>
      <c r="F733" s="342" t="s">
        <v>1551</v>
      </c>
      <c r="G733" s="342" t="s">
        <v>1099</v>
      </c>
      <c r="H733" s="342" t="s">
        <v>1100</v>
      </c>
    </row>
    <row r="734" spans="1:8" x14ac:dyDescent="0.25">
      <c r="A734" s="343">
        <v>874</v>
      </c>
      <c r="B734" s="343">
        <v>66196</v>
      </c>
      <c r="C734" s="342" t="s">
        <v>740</v>
      </c>
      <c r="D734" s="342" t="s">
        <v>963</v>
      </c>
      <c r="E734" s="342" t="s">
        <v>483</v>
      </c>
      <c r="F734" s="342" t="s">
        <v>1552</v>
      </c>
      <c r="G734" s="342" t="s">
        <v>805</v>
      </c>
      <c r="H734" s="342" t="s">
        <v>806</v>
      </c>
    </row>
    <row r="735" spans="1:8" x14ac:dyDescent="0.25">
      <c r="A735" s="343">
        <v>888</v>
      </c>
      <c r="B735" s="343">
        <v>66270</v>
      </c>
      <c r="C735" s="342" t="s">
        <v>740</v>
      </c>
      <c r="D735" s="342" t="s">
        <v>765</v>
      </c>
      <c r="E735" s="342" t="s">
        <v>591</v>
      </c>
      <c r="F735" s="342" t="s">
        <v>1553</v>
      </c>
      <c r="G735" s="342" t="s">
        <v>805</v>
      </c>
      <c r="H735" s="342" t="s">
        <v>883</v>
      </c>
    </row>
    <row r="736" spans="1:8" x14ac:dyDescent="0.25">
      <c r="A736" s="343">
        <v>889</v>
      </c>
      <c r="B736" s="343">
        <v>66269</v>
      </c>
      <c r="C736" s="342" t="s">
        <v>740</v>
      </c>
      <c r="D736" s="342" t="s">
        <v>765</v>
      </c>
      <c r="E736" s="342" t="s">
        <v>591</v>
      </c>
      <c r="F736" s="342" t="s">
        <v>1554</v>
      </c>
      <c r="G736" s="342" t="s">
        <v>695</v>
      </c>
      <c r="H736" s="342" t="s">
        <v>1057</v>
      </c>
    </row>
    <row r="737" spans="1:8" x14ac:dyDescent="0.25">
      <c r="A737" s="343">
        <v>922</v>
      </c>
      <c r="B737" s="343">
        <v>67692</v>
      </c>
      <c r="C737" s="342" t="s">
        <v>740</v>
      </c>
      <c r="D737" s="342" t="s">
        <v>920</v>
      </c>
      <c r="E737" s="342" t="s">
        <v>392</v>
      </c>
      <c r="F737" s="342" t="s">
        <v>1555</v>
      </c>
      <c r="G737" s="342" t="s">
        <v>695</v>
      </c>
      <c r="H737" s="342" t="s">
        <v>748</v>
      </c>
    </row>
    <row r="738" spans="1:8" x14ac:dyDescent="0.25">
      <c r="A738" s="343">
        <v>203</v>
      </c>
      <c r="B738" s="343">
        <v>142</v>
      </c>
      <c r="C738" s="342" t="s">
        <v>701</v>
      </c>
      <c r="D738" s="342" t="s">
        <v>718</v>
      </c>
      <c r="E738" s="342" t="s">
        <v>569</v>
      </c>
      <c r="F738" s="342" t="s">
        <v>1556</v>
      </c>
      <c r="G738" s="342" t="s">
        <v>695</v>
      </c>
      <c r="H738" s="342" t="s">
        <v>696</v>
      </c>
    </row>
    <row r="739" spans="1:8" x14ac:dyDescent="0.25">
      <c r="A739" s="343">
        <v>54</v>
      </c>
      <c r="B739" s="343">
        <v>48905</v>
      </c>
      <c r="C739" s="342" t="s">
        <v>789</v>
      </c>
      <c r="D739" s="342" t="s">
        <v>913</v>
      </c>
      <c r="E739" s="342" t="s">
        <v>415</v>
      </c>
      <c r="F739" s="342" t="s">
        <v>1557</v>
      </c>
      <c r="G739" s="342" t="s">
        <v>695</v>
      </c>
      <c r="H739" s="342" t="s">
        <v>696</v>
      </c>
    </row>
    <row r="740" spans="1:8" x14ac:dyDescent="0.25">
      <c r="A740" s="343">
        <v>528</v>
      </c>
      <c r="B740" s="343">
        <v>63863</v>
      </c>
      <c r="C740" s="342" t="s">
        <v>789</v>
      </c>
      <c r="D740" s="342" t="s">
        <v>913</v>
      </c>
      <c r="E740" s="342" t="s">
        <v>415</v>
      </c>
      <c r="F740" s="342" t="s">
        <v>1558</v>
      </c>
      <c r="G740" s="342" t="s">
        <v>695</v>
      </c>
      <c r="H740" s="342" t="s">
        <v>1051</v>
      </c>
    </row>
    <row r="741" spans="1:8" x14ac:dyDescent="0.25">
      <c r="A741" s="343">
        <v>584</v>
      </c>
      <c r="B741" s="343">
        <v>63864</v>
      </c>
      <c r="C741" s="342" t="s">
        <v>789</v>
      </c>
      <c r="D741" s="342" t="s">
        <v>913</v>
      </c>
      <c r="E741" s="342" t="s">
        <v>415</v>
      </c>
      <c r="F741" s="342" t="s">
        <v>1559</v>
      </c>
      <c r="G741" s="342" t="s">
        <v>695</v>
      </c>
      <c r="H741" s="342" t="s">
        <v>726</v>
      </c>
    </row>
    <row r="742" spans="1:8" x14ac:dyDescent="0.25">
      <c r="A742" s="343">
        <v>338</v>
      </c>
      <c r="B742" s="343">
        <v>1118</v>
      </c>
      <c r="C742" s="342" t="s">
        <v>706</v>
      </c>
      <c r="D742" s="342" t="s">
        <v>847</v>
      </c>
      <c r="E742" s="342" t="s">
        <v>456</v>
      </c>
      <c r="F742" s="342" t="s">
        <v>1560</v>
      </c>
      <c r="G742" s="342" t="s">
        <v>695</v>
      </c>
      <c r="H742" s="342" t="s">
        <v>1561</v>
      </c>
    </row>
    <row r="743" spans="1:8" x14ac:dyDescent="0.25">
      <c r="A743" s="343">
        <v>592</v>
      </c>
      <c r="B743" s="343">
        <v>63872</v>
      </c>
      <c r="C743" s="342" t="s">
        <v>706</v>
      </c>
      <c r="D743" s="342" t="s">
        <v>1166</v>
      </c>
      <c r="E743" s="342" t="s">
        <v>682</v>
      </c>
      <c r="F743" s="342" t="s">
        <v>1562</v>
      </c>
      <c r="G743" s="342" t="s">
        <v>805</v>
      </c>
      <c r="H743" s="342" t="s">
        <v>806</v>
      </c>
    </row>
    <row r="744" spans="1:8" x14ac:dyDescent="0.25">
      <c r="A744" s="343">
        <v>1002</v>
      </c>
      <c r="B744" s="343">
        <v>67845</v>
      </c>
      <c r="C744" s="342" t="s">
        <v>706</v>
      </c>
      <c r="D744" s="342" t="s">
        <v>907</v>
      </c>
      <c r="E744" s="342" t="s">
        <v>479</v>
      </c>
      <c r="F744" s="342" t="s">
        <v>1563</v>
      </c>
      <c r="G744" s="342" t="s">
        <v>1099</v>
      </c>
      <c r="H744" s="342" t="s">
        <v>1100</v>
      </c>
    </row>
    <row r="745" spans="1:8" x14ac:dyDescent="0.25">
      <c r="A745" s="343">
        <v>162</v>
      </c>
      <c r="B745" s="343">
        <v>54841</v>
      </c>
      <c r="C745" s="342" t="s">
        <v>767</v>
      </c>
      <c r="D745" s="342" t="s">
        <v>892</v>
      </c>
      <c r="E745" s="342" t="s">
        <v>527</v>
      </c>
      <c r="F745" s="342" t="s">
        <v>1564</v>
      </c>
      <c r="G745" s="342" t="s">
        <v>695</v>
      </c>
      <c r="H745" s="342" t="s">
        <v>696</v>
      </c>
    </row>
    <row r="746" spans="1:8" x14ac:dyDescent="0.25">
      <c r="A746" s="343">
        <v>194</v>
      </c>
      <c r="B746" s="343">
        <v>48950</v>
      </c>
      <c r="C746" s="342" t="s">
        <v>697</v>
      </c>
      <c r="D746" s="342" t="s">
        <v>714</v>
      </c>
      <c r="E746" s="342" t="s">
        <v>560</v>
      </c>
      <c r="F746" s="342" t="s">
        <v>1565</v>
      </c>
      <c r="G746" s="342" t="s">
        <v>695</v>
      </c>
      <c r="H746" s="342" t="s">
        <v>696</v>
      </c>
    </row>
    <row r="747" spans="1:8" x14ac:dyDescent="0.25">
      <c r="A747" s="343">
        <v>717</v>
      </c>
      <c r="B747" s="343">
        <v>303</v>
      </c>
      <c r="C747" s="342" t="s">
        <v>697</v>
      </c>
      <c r="D747" s="342" t="s">
        <v>772</v>
      </c>
      <c r="E747" s="342" t="s">
        <v>559</v>
      </c>
      <c r="F747" s="342" t="s">
        <v>1566</v>
      </c>
      <c r="G747" s="342" t="s">
        <v>695</v>
      </c>
      <c r="H747" s="342" t="s">
        <v>726</v>
      </c>
    </row>
    <row r="748" spans="1:8" x14ac:dyDescent="0.25">
      <c r="A748" s="343">
        <v>809</v>
      </c>
      <c r="B748" s="343">
        <v>54887</v>
      </c>
      <c r="C748" s="342" t="s">
        <v>767</v>
      </c>
      <c r="D748" s="342" t="s">
        <v>860</v>
      </c>
      <c r="E748" s="342" t="s">
        <v>564</v>
      </c>
      <c r="F748" s="342" t="s">
        <v>1567</v>
      </c>
      <c r="G748" s="342" t="s">
        <v>695</v>
      </c>
      <c r="H748" s="342" t="s">
        <v>272</v>
      </c>
    </row>
    <row r="749" spans="1:8" x14ac:dyDescent="0.25">
      <c r="A749" s="343">
        <v>969</v>
      </c>
      <c r="B749" s="343">
        <v>67664</v>
      </c>
      <c r="C749" s="342" t="s">
        <v>767</v>
      </c>
      <c r="D749" s="342" t="s">
        <v>860</v>
      </c>
      <c r="E749" s="342" t="s">
        <v>568</v>
      </c>
      <c r="F749" s="342" t="s">
        <v>1568</v>
      </c>
      <c r="G749" s="342" t="s">
        <v>695</v>
      </c>
      <c r="H749" s="342" t="s">
        <v>726</v>
      </c>
    </row>
    <row r="750" spans="1:8" x14ac:dyDescent="0.25">
      <c r="A750" s="343">
        <v>972</v>
      </c>
      <c r="B750" s="343">
        <v>67870</v>
      </c>
      <c r="C750" s="342" t="s">
        <v>767</v>
      </c>
      <c r="D750" s="342" t="s">
        <v>895</v>
      </c>
      <c r="E750" s="342" t="s">
        <v>609</v>
      </c>
      <c r="F750" s="342" t="s">
        <v>1569</v>
      </c>
      <c r="G750" s="342" t="s">
        <v>737</v>
      </c>
      <c r="H750" s="342" t="s">
        <v>738</v>
      </c>
    </row>
    <row r="751" spans="1:8" x14ac:dyDescent="0.25">
      <c r="A751" s="343">
        <v>973</v>
      </c>
      <c r="B751" s="343">
        <v>67654</v>
      </c>
      <c r="C751" s="342" t="s">
        <v>767</v>
      </c>
      <c r="D751" s="342" t="s">
        <v>895</v>
      </c>
      <c r="E751" s="342" t="s">
        <v>609</v>
      </c>
      <c r="F751" s="342" t="s">
        <v>1570</v>
      </c>
      <c r="G751" s="342" t="s">
        <v>805</v>
      </c>
      <c r="H751" s="342" t="s">
        <v>806</v>
      </c>
    </row>
    <row r="752" spans="1:8" x14ac:dyDescent="0.25">
      <c r="A752" s="343">
        <v>975</v>
      </c>
      <c r="B752" s="343">
        <v>67655</v>
      </c>
      <c r="C752" s="342" t="s">
        <v>767</v>
      </c>
      <c r="D752" s="342" t="s">
        <v>895</v>
      </c>
      <c r="E752" s="342" t="s">
        <v>609</v>
      </c>
      <c r="F752" s="342" t="s">
        <v>1571</v>
      </c>
      <c r="G752" s="342" t="s">
        <v>805</v>
      </c>
      <c r="H752" s="342" t="s">
        <v>806</v>
      </c>
    </row>
    <row r="753" spans="1:8" x14ac:dyDescent="0.25">
      <c r="A753" s="343">
        <v>976</v>
      </c>
      <c r="B753" s="343">
        <v>67656</v>
      </c>
      <c r="C753" s="342" t="s">
        <v>767</v>
      </c>
      <c r="D753" s="342" t="s">
        <v>895</v>
      </c>
      <c r="E753" s="342" t="s">
        <v>609</v>
      </c>
      <c r="F753" s="342" t="s">
        <v>1572</v>
      </c>
      <c r="G753" s="342" t="s">
        <v>805</v>
      </c>
      <c r="H753" s="342" t="s">
        <v>806</v>
      </c>
    </row>
    <row r="754" spans="1:8" x14ac:dyDescent="0.25">
      <c r="A754" s="343">
        <v>68</v>
      </c>
      <c r="B754" s="343">
        <v>11784</v>
      </c>
      <c r="C754" s="342" t="s">
        <v>767</v>
      </c>
      <c r="D754" s="342" t="s">
        <v>895</v>
      </c>
      <c r="E754" s="342" t="s">
        <v>431</v>
      </c>
      <c r="F754" s="342" t="s">
        <v>1573</v>
      </c>
      <c r="G754" s="342" t="s">
        <v>695</v>
      </c>
      <c r="H754" s="342" t="s">
        <v>696</v>
      </c>
    </row>
    <row r="755" spans="1:8" x14ac:dyDescent="0.25">
      <c r="A755" s="343">
        <v>409</v>
      </c>
      <c r="B755" s="343">
        <v>63787</v>
      </c>
      <c r="C755" s="342" t="s">
        <v>701</v>
      </c>
      <c r="D755" s="342" t="s">
        <v>711</v>
      </c>
      <c r="E755" s="342" t="s">
        <v>580</v>
      </c>
      <c r="F755" s="342" t="s">
        <v>1574</v>
      </c>
      <c r="G755" s="342" t="s">
        <v>695</v>
      </c>
      <c r="H755" s="342" t="s">
        <v>734</v>
      </c>
    </row>
    <row r="756" spans="1:8" x14ac:dyDescent="0.25">
      <c r="A756" s="343">
        <v>648</v>
      </c>
      <c r="B756" s="343">
        <v>63871</v>
      </c>
      <c r="C756" s="342" t="s">
        <v>701</v>
      </c>
      <c r="D756" s="342" t="s">
        <v>729</v>
      </c>
      <c r="E756" s="342" t="s">
        <v>443</v>
      </c>
      <c r="F756" s="342" t="s">
        <v>1575</v>
      </c>
      <c r="G756" s="342" t="s">
        <v>1099</v>
      </c>
      <c r="H756" s="342" t="s">
        <v>1100</v>
      </c>
    </row>
    <row r="757" spans="1:8" x14ac:dyDescent="0.25">
      <c r="A757" s="343">
        <v>683</v>
      </c>
      <c r="B757" s="343">
        <v>63854</v>
      </c>
      <c r="C757" s="342" t="s">
        <v>701</v>
      </c>
      <c r="D757" s="342" t="s">
        <v>727</v>
      </c>
      <c r="E757" s="342" t="s">
        <v>406</v>
      </c>
      <c r="F757" s="342" t="s">
        <v>1576</v>
      </c>
      <c r="G757" s="342" t="s">
        <v>1099</v>
      </c>
      <c r="H757" s="342" t="s">
        <v>1100</v>
      </c>
    </row>
    <row r="758" spans="1:8" x14ac:dyDescent="0.25">
      <c r="A758" s="343">
        <v>700</v>
      </c>
      <c r="B758" s="343">
        <v>63953</v>
      </c>
      <c r="C758" s="342" t="s">
        <v>701</v>
      </c>
      <c r="D758" s="342" t="s">
        <v>718</v>
      </c>
      <c r="E758" s="342" t="s">
        <v>500</v>
      </c>
      <c r="F758" s="342" t="s">
        <v>1577</v>
      </c>
      <c r="G758" s="342" t="s">
        <v>805</v>
      </c>
      <c r="H758" s="342" t="s">
        <v>806</v>
      </c>
    </row>
    <row r="759" spans="1:8" x14ac:dyDescent="0.25">
      <c r="A759" s="343">
        <v>853</v>
      </c>
      <c r="B759" s="343">
        <v>64851</v>
      </c>
      <c r="C759" s="342" t="s">
        <v>701</v>
      </c>
      <c r="D759" s="342" t="s">
        <v>845</v>
      </c>
      <c r="E759" s="342" t="s">
        <v>370</v>
      </c>
      <c r="F759" s="342" t="s">
        <v>1578</v>
      </c>
      <c r="G759" s="342" t="s">
        <v>805</v>
      </c>
      <c r="H759" s="342" t="s">
        <v>883</v>
      </c>
    </row>
    <row r="760" spans="1:8" x14ac:dyDescent="0.25">
      <c r="A760" s="343">
        <v>872</v>
      </c>
      <c r="B760" s="343">
        <v>67164</v>
      </c>
      <c r="C760" s="342" t="s">
        <v>701</v>
      </c>
      <c r="D760" s="342" t="s">
        <v>727</v>
      </c>
      <c r="E760" s="342" t="s">
        <v>507</v>
      </c>
      <c r="F760" s="342" t="s">
        <v>1579</v>
      </c>
      <c r="G760" s="342" t="s">
        <v>805</v>
      </c>
      <c r="H760" s="342" t="s">
        <v>806</v>
      </c>
    </row>
    <row r="761" spans="1:8" x14ac:dyDescent="0.25">
      <c r="A761" s="343">
        <v>932</v>
      </c>
      <c r="B761" s="343">
        <v>67688</v>
      </c>
      <c r="C761" s="342" t="s">
        <v>701</v>
      </c>
      <c r="D761" s="342" t="s">
        <v>749</v>
      </c>
      <c r="E761" s="342" t="s">
        <v>408</v>
      </c>
      <c r="F761" s="342" t="s">
        <v>1580</v>
      </c>
      <c r="G761" s="342" t="s">
        <v>805</v>
      </c>
      <c r="H761" s="342" t="s">
        <v>806</v>
      </c>
    </row>
    <row r="762" spans="1:8" x14ac:dyDescent="0.25">
      <c r="A762" s="343">
        <v>18</v>
      </c>
      <c r="B762" s="343">
        <v>317</v>
      </c>
      <c r="C762" s="342" t="s">
        <v>779</v>
      </c>
      <c r="D762" s="342" t="s">
        <v>1581</v>
      </c>
      <c r="E762" s="342" t="s">
        <v>376</v>
      </c>
      <c r="F762" s="342" t="s">
        <v>1582</v>
      </c>
      <c r="G762" s="342" t="s">
        <v>695</v>
      </c>
      <c r="H762" s="342" t="s">
        <v>696</v>
      </c>
    </row>
    <row r="763" spans="1:8" x14ac:dyDescent="0.25">
      <c r="A763" s="343">
        <v>29</v>
      </c>
      <c r="B763" s="343">
        <v>48932</v>
      </c>
      <c r="C763" s="342" t="s">
        <v>822</v>
      </c>
      <c r="D763" s="342" t="s">
        <v>823</v>
      </c>
      <c r="E763" s="342" t="s">
        <v>389</v>
      </c>
      <c r="F763" s="342" t="s">
        <v>1583</v>
      </c>
      <c r="G763" s="342" t="s">
        <v>695</v>
      </c>
      <c r="H763" s="342" t="s">
        <v>696</v>
      </c>
    </row>
    <row r="764" spans="1:8" x14ac:dyDescent="0.25">
      <c r="A764" s="343">
        <v>118</v>
      </c>
      <c r="B764" s="343">
        <v>48550</v>
      </c>
      <c r="C764" s="342" t="s">
        <v>822</v>
      </c>
      <c r="D764" s="342" t="s">
        <v>1003</v>
      </c>
      <c r="E764" s="342" t="s">
        <v>480</v>
      </c>
      <c r="F764" s="342" t="s">
        <v>1584</v>
      </c>
      <c r="G764" s="342" t="s">
        <v>695</v>
      </c>
      <c r="H764" s="342" t="s">
        <v>696</v>
      </c>
    </row>
    <row r="765" spans="1:8" x14ac:dyDescent="0.25">
      <c r="A765" s="343">
        <v>191</v>
      </c>
      <c r="B765" s="343">
        <v>22452</v>
      </c>
      <c r="C765" s="342" t="s">
        <v>779</v>
      </c>
      <c r="D765" s="342" t="s">
        <v>953</v>
      </c>
      <c r="E765" s="342" t="s">
        <v>1585</v>
      </c>
      <c r="F765" s="342" t="s">
        <v>1586</v>
      </c>
      <c r="G765" s="342" t="s">
        <v>695</v>
      </c>
      <c r="H765" s="342" t="s">
        <v>696</v>
      </c>
    </row>
    <row r="766" spans="1:8" x14ac:dyDescent="0.25">
      <c r="A766" s="343">
        <v>205</v>
      </c>
      <c r="B766" s="343">
        <v>48952</v>
      </c>
      <c r="C766" s="342" t="s">
        <v>779</v>
      </c>
      <c r="D766" s="342" t="s">
        <v>858</v>
      </c>
      <c r="E766" s="342" t="s">
        <v>572</v>
      </c>
      <c r="F766" s="342" t="s">
        <v>1587</v>
      </c>
      <c r="G766" s="342" t="s">
        <v>695</v>
      </c>
      <c r="H766" s="342" t="s">
        <v>696</v>
      </c>
    </row>
    <row r="767" spans="1:8" x14ac:dyDescent="0.25">
      <c r="A767" s="343">
        <v>467</v>
      </c>
      <c r="B767" s="343">
        <v>64381</v>
      </c>
      <c r="C767" s="342" t="s">
        <v>822</v>
      </c>
      <c r="D767" s="342" t="s">
        <v>823</v>
      </c>
      <c r="E767" s="342" t="s">
        <v>649</v>
      </c>
      <c r="F767" s="342" t="s">
        <v>1588</v>
      </c>
      <c r="G767" s="342" t="s">
        <v>1099</v>
      </c>
      <c r="H767" s="342" t="s">
        <v>1100</v>
      </c>
    </row>
    <row r="768" spans="1:8" x14ac:dyDescent="0.25">
      <c r="A768" s="343">
        <v>603</v>
      </c>
      <c r="B768" s="343">
        <v>64266</v>
      </c>
      <c r="C768" s="342" t="s">
        <v>822</v>
      </c>
      <c r="D768" s="342" t="s">
        <v>823</v>
      </c>
      <c r="E768" s="342" t="s">
        <v>649</v>
      </c>
      <c r="F768" s="342" t="s">
        <v>1589</v>
      </c>
      <c r="G768" s="342" t="s">
        <v>695</v>
      </c>
      <c r="H768" s="342" t="s">
        <v>1409</v>
      </c>
    </row>
    <row r="769" spans="1:8" x14ac:dyDescent="0.25">
      <c r="A769" s="343">
        <v>796</v>
      </c>
      <c r="B769" s="343">
        <v>52073</v>
      </c>
      <c r="C769" s="342" t="s">
        <v>832</v>
      </c>
      <c r="D769" s="342" t="s">
        <v>909</v>
      </c>
      <c r="E769" s="342" t="s">
        <v>475</v>
      </c>
      <c r="F769" s="342" t="s">
        <v>1590</v>
      </c>
      <c r="G769" s="342" t="s">
        <v>997</v>
      </c>
      <c r="H769" s="342" t="s">
        <v>997</v>
      </c>
    </row>
    <row r="770" spans="1:8" x14ac:dyDescent="0.25">
      <c r="A770" s="343">
        <v>823</v>
      </c>
      <c r="B770" s="343">
        <v>63947</v>
      </c>
      <c r="C770" s="342" t="s">
        <v>822</v>
      </c>
      <c r="D770" s="342" t="s">
        <v>1003</v>
      </c>
      <c r="E770" s="342" t="s">
        <v>480</v>
      </c>
      <c r="F770" s="342" t="s">
        <v>1591</v>
      </c>
      <c r="G770" s="342" t="s">
        <v>695</v>
      </c>
      <c r="H770" s="342" t="s">
        <v>1253</v>
      </c>
    </row>
    <row r="771" spans="1:8" x14ac:dyDescent="0.25">
      <c r="A771" s="343">
        <v>939</v>
      </c>
      <c r="B771" s="343">
        <v>67647</v>
      </c>
      <c r="C771" s="342" t="s">
        <v>779</v>
      </c>
      <c r="D771" s="342" t="s">
        <v>780</v>
      </c>
      <c r="E771" s="342" t="s">
        <v>368</v>
      </c>
      <c r="F771" s="342" t="s">
        <v>1592</v>
      </c>
      <c r="G771" s="342" t="s">
        <v>805</v>
      </c>
      <c r="H771" s="342" t="s">
        <v>806</v>
      </c>
    </row>
    <row r="772" spans="1:8" x14ac:dyDescent="0.25">
      <c r="A772" s="343">
        <v>940</v>
      </c>
      <c r="B772" s="343">
        <v>13850</v>
      </c>
      <c r="C772" s="342" t="s">
        <v>779</v>
      </c>
      <c r="D772" s="342" t="s">
        <v>780</v>
      </c>
      <c r="E772" s="342" t="s">
        <v>368</v>
      </c>
      <c r="F772" s="342" t="s">
        <v>1593</v>
      </c>
      <c r="G772" s="342" t="s">
        <v>805</v>
      </c>
      <c r="H772" s="342" t="s">
        <v>813</v>
      </c>
    </row>
    <row r="773" spans="1:8" x14ac:dyDescent="0.25">
      <c r="A773" s="343">
        <v>227</v>
      </c>
      <c r="B773" s="343">
        <v>48664</v>
      </c>
      <c r="C773" s="342" t="s">
        <v>822</v>
      </c>
      <c r="D773" s="342" t="s">
        <v>823</v>
      </c>
      <c r="E773" s="342" t="s">
        <v>596</v>
      </c>
      <c r="F773" s="342" t="s">
        <v>1594</v>
      </c>
      <c r="G773" s="342" t="s">
        <v>695</v>
      </c>
      <c r="H773" s="342" t="s">
        <v>696</v>
      </c>
    </row>
    <row r="774" spans="1:8" x14ac:dyDescent="0.25">
      <c r="A774" s="343">
        <v>232</v>
      </c>
      <c r="B774" s="343">
        <v>151</v>
      </c>
      <c r="C774" s="342" t="s">
        <v>779</v>
      </c>
      <c r="D774" s="342" t="s">
        <v>1024</v>
      </c>
      <c r="E774" s="342" t="s">
        <v>601</v>
      </c>
      <c r="F774" s="342" t="s">
        <v>1595</v>
      </c>
      <c r="G774" s="342" t="s">
        <v>695</v>
      </c>
      <c r="H774" s="342" t="s">
        <v>696</v>
      </c>
    </row>
    <row r="775" spans="1:8" x14ac:dyDescent="0.25">
      <c r="A775" s="343">
        <v>374</v>
      </c>
      <c r="B775" s="343">
        <v>49652</v>
      </c>
      <c r="C775" s="342" t="s">
        <v>779</v>
      </c>
      <c r="D775" s="342" t="s">
        <v>1024</v>
      </c>
      <c r="E775" s="342" t="s">
        <v>455</v>
      </c>
      <c r="F775" s="342" t="s">
        <v>1596</v>
      </c>
      <c r="G775" s="342" t="s">
        <v>695</v>
      </c>
      <c r="H775" s="342" t="s">
        <v>726</v>
      </c>
    </row>
    <row r="776" spans="1:8" x14ac:dyDescent="0.25">
      <c r="A776" s="343">
        <v>601</v>
      </c>
      <c r="B776" s="343">
        <v>64161</v>
      </c>
      <c r="C776" s="342" t="s">
        <v>779</v>
      </c>
      <c r="D776" s="342" t="s">
        <v>1024</v>
      </c>
      <c r="E776" s="342" t="s">
        <v>601</v>
      </c>
      <c r="F776" s="342" t="s">
        <v>1597</v>
      </c>
      <c r="G776" s="342" t="s">
        <v>695</v>
      </c>
      <c r="H776" s="342" t="s">
        <v>705</v>
      </c>
    </row>
    <row r="777" spans="1:8" x14ac:dyDescent="0.25">
      <c r="A777" s="343">
        <v>623</v>
      </c>
      <c r="B777" s="343">
        <v>24476</v>
      </c>
      <c r="C777" s="342" t="s">
        <v>822</v>
      </c>
      <c r="D777" s="342" t="s">
        <v>889</v>
      </c>
      <c r="E777" s="342" t="s">
        <v>606</v>
      </c>
      <c r="F777" s="342" t="s">
        <v>1598</v>
      </c>
      <c r="G777" s="342" t="s">
        <v>695</v>
      </c>
      <c r="H777" s="342" t="s">
        <v>734</v>
      </c>
    </row>
    <row r="778" spans="1:8" x14ac:dyDescent="0.25">
      <c r="A778" s="343">
        <v>917</v>
      </c>
      <c r="B778" s="343">
        <v>64161</v>
      </c>
      <c r="C778" s="342" t="s">
        <v>779</v>
      </c>
      <c r="D778" s="342" t="s">
        <v>1024</v>
      </c>
      <c r="E778" s="342" t="s">
        <v>601</v>
      </c>
      <c r="F778" s="342" t="s">
        <v>1599</v>
      </c>
      <c r="G778" s="342" t="s">
        <v>695</v>
      </c>
      <c r="H778" s="342" t="s">
        <v>272</v>
      </c>
    </row>
    <row r="779" spans="1:8" x14ac:dyDescent="0.25">
      <c r="A779" s="343">
        <v>1066</v>
      </c>
      <c r="B779" s="343"/>
      <c r="F779" s="342" t="s">
        <v>1602</v>
      </c>
    </row>
    <row r="780" spans="1:8" x14ac:dyDescent="0.25">
      <c r="A780" s="342" t="s">
        <v>1600</v>
      </c>
    </row>
  </sheetData>
  <pageMargins left="0" right="0" top="0" bottom="0" header="0.31496062992125984" footer="0.31496062992125984"/>
  <pageSetup paperSize="9" scale="10" orientation="portrait" verticalDpi="599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J21"/>
  <sheetViews>
    <sheetView zoomScaleNormal="100" workbookViewId="0">
      <selection activeCell="B17" sqref="B17"/>
    </sheetView>
  </sheetViews>
  <sheetFormatPr defaultColWidth="9.140625" defaultRowHeight="12" x14ac:dyDescent="0.2"/>
  <cols>
    <col min="1" max="1" width="23.5703125" style="9" customWidth="1"/>
    <col min="2" max="2" width="34.85546875" style="9" customWidth="1"/>
    <col min="3" max="3" width="18.42578125" style="9" customWidth="1"/>
    <col min="4" max="4" width="10.85546875" style="9" customWidth="1"/>
    <col min="5" max="5" width="16" style="9" customWidth="1"/>
    <col min="6" max="6" width="8.140625" style="9" customWidth="1"/>
    <col min="7" max="7" width="5.85546875" style="9" customWidth="1"/>
    <col min="8" max="8" width="6.5703125" style="9" customWidth="1"/>
    <col min="9" max="16384" width="9.140625" style="9"/>
  </cols>
  <sheetData>
    <row r="1" spans="1:10" ht="24.75" customHeight="1" x14ac:dyDescent="0.2">
      <c r="A1" s="367" t="s">
        <v>0</v>
      </c>
      <c r="B1" s="368"/>
      <c r="C1" s="368"/>
      <c r="D1" s="368"/>
      <c r="E1" s="368"/>
      <c r="F1" s="368"/>
      <c r="G1" s="368"/>
      <c r="H1" s="369"/>
      <c r="I1" s="8"/>
    </row>
    <row r="2" spans="1:10" ht="24" customHeight="1" x14ac:dyDescent="0.2">
      <c r="A2" s="10" t="s">
        <v>1</v>
      </c>
      <c r="B2" s="359"/>
      <c r="C2" s="361"/>
      <c r="D2" s="362" t="s">
        <v>2</v>
      </c>
      <c r="E2" s="363"/>
      <c r="F2" s="359"/>
      <c r="G2" s="360"/>
      <c r="H2" s="361"/>
      <c r="I2" s="8"/>
      <c r="J2" s="11" t="s">
        <v>3</v>
      </c>
    </row>
    <row r="3" spans="1:10" ht="18.75" customHeight="1" x14ac:dyDescent="0.2">
      <c r="A3" s="374" t="s">
        <v>4</v>
      </c>
      <c r="B3" s="374"/>
      <c r="C3" s="374"/>
      <c r="D3" s="374"/>
      <c r="E3" s="374"/>
      <c r="F3" s="374"/>
      <c r="G3" s="374"/>
      <c r="H3" s="374"/>
      <c r="I3" s="8"/>
      <c r="J3" s="11" t="s">
        <v>5</v>
      </c>
    </row>
    <row r="4" spans="1:10" ht="18" customHeight="1" x14ac:dyDescent="0.2">
      <c r="A4" s="12" t="s">
        <v>6</v>
      </c>
      <c r="B4" s="359"/>
      <c r="C4" s="360"/>
      <c r="D4" s="360"/>
      <c r="E4" s="360"/>
      <c r="F4" s="360"/>
      <c r="G4" s="360"/>
      <c r="H4" s="361"/>
      <c r="I4" s="8"/>
    </row>
    <row r="5" spans="1:10" ht="18" customHeight="1" x14ac:dyDescent="0.2">
      <c r="A5" s="12" t="s">
        <v>7</v>
      </c>
      <c r="B5" s="359"/>
      <c r="C5" s="360"/>
      <c r="D5" s="360"/>
      <c r="E5" s="360"/>
      <c r="F5" s="360"/>
      <c r="G5" s="360"/>
      <c r="H5" s="361"/>
      <c r="I5" s="8"/>
    </row>
    <row r="6" spans="1:10" ht="18" customHeight="1" x14ac:dyDescent="0.2">
      <c r="A6" s="12" t="s">
        <v>8</v>
      </c>
      <c r="B6" s="359"/>
      <c r="C6" s="360"/>
      <c r="D6" s="360"/>
      <c r="E6" s="360"/>
      <c r="F6" s="360"/>
      <c r="G6" s="360"/>
      <c r="H6" s="361"/>
      <c r="I6" s="8"/>
    </row>
    <row r="7" spans="1:10" ht="18" customHeight="1" x14ac:dyDescent="0.2">
      <c r="A7" s="12" t="s">
        <v>9</v>
      </c>
      <c r="B7" s="359"/>
      <c r="C7" s="361"/>
      <c r="D7" s="13" t="s">
        <v>10</v>
      </c>
      <c r="E7" s="359"/>
      <c r="F7" s="361"/>
      <c r="G7" s="14" t="s">
        <v>11</v>
      </c>
      <c r="H7" s="15"/>
      <c r="I7" s="8"/>
    </row>
    <row r="8" spans="1:10" ht="18" customHeight="1" x14ac:dyDescent="0.2">
      <c r="A8" s="12" t="s">
        <v>12</v>
      </c>
      <c r="B8" s="162"/>
      <c r="C8" s="16" t="s">
        <v>13</v>
      </c>
      <c r="D8" s="364"/>
      <c r="E8" s="365"/>
      <c r="F8" s="365"/>
      <c r="G8" s="365"/>
      <c r="H8" s="366"/>
      <c r="I8" s="8"/>
    </row>
    <row r="9" spans="1:10" ht="24.75" customHeight="1" x14ac:dyDescent="0.2">
      <c r="A9" s="12" t="s">
        <v>14</v>
      </c>
      <c r="B9" s="359"/>
      <c r="C9" s="360"/>
      <c r="D9" s="360"/>
      <c r="E9" s="360"/>
      <c r="F9" s="360"/>
      <c r="G9" s="360"/>
      <c r="H9" s="361"/>
      <c r="I9" s="8"/>
    </row>
    <row r="10" spans="1:10" ht="21.75" customHeight="1" x14ac:dyDescent="0.2">
      <c r="A10" s="374" t="s">
        <v>15</v>
      </c>
      <c r="B10" s="374"/>
      <c r="C10" s="374"/>
      <c r="D10" s="374"/>
      <c r="E10" s="374"/>
      <c r="F10" s="374"/>
      <c r="G10" s="374"/>
      <c r="H10" s="374"/>
      <c r="I10" s="8"/>
    </row>
    <row r="11" spans="1:10" ht="36" x14ac:dyDescent="0.2">
      <c r="A11" s="370" t="s">
        <v>16</v>
      </c>
      <c r="B11" s="370" t="s">
        <v>17</v>
      </c>
      <c r="C11" s="370" t="s">
        <v>14</v>
      </c>
      <c r="D11" s="370"/>
      <c r="E11" s="370" t="s">
        <v>13</v>
      </c>
      <c r="F11" s="164" t="s">
        <v>18</v>
      </c>
      <c r="G11" s="376" t="s">
        <v>19</v>
      </c>
      <c r="H11" s="376"/>
      <c r="I11" s="8"/>
    </row>
    <row r="12" spans="1:10" x14ac:dyDescent="0.2">
      <c r="A12" s="370"/>
      <c r="B12" s="370"/>
      <c r="C12" s="370"/>
      <c r="D12" s="370"/>
      <c r="E12" s="370"/>
      <c r="F12" s="166" t="s">
        <v>20</v>
      </c>
      <c r="G12" s="375" t="s">
        <v>20</v>
      </c>
      <c r="H12" s="375"/>
      <c r="I12" s="8"/>
    </row>
    <row r="13" spans="1:10" ht="34.5" customHeight="1" x14ac:dyDescent="0.2">
      <c r="A13" s="15"/>
      <c r="B13" s="15"/>
      <c r="C13" s="359"/>
      <c r="D13" s="361"/>
      <c r="E13" s="15"/>
      <c r="F13" s="17"/>
      <c r="G13" s="372"/>
      <c r="H13" s="373"/>
      <c r="I13" s="8"/>
    </row>
    <row r="14" spans="1:10" ht="34.5" customHeight="1" x14ac:dyDescent="0.2">
      <c r="A14" s="15"/>
      <c r="B14" s="15"/>
      <c r="C14" s="359"/>
      <c r="D14" s="361"/>
      <c r="E14" s="15"/>
      <c r="F14" s="17"/>
      <c r="G14" s="372"/>
      <c r="H14" s="373"/>
      <c r="I14" s="8"/>
    </row>
    <row r="15" spans="1:10" ht="34.5" customHeight="1" x14ac:dyDescent="0.2">
      <c r="A15" s="15"/>
      <c r="B15" s="15"/>
      <c r="C15" s="359"/>
      <c r="D15" s="361"/>
      <c r="E15" s="15"/>
      <c r="F15" s="17"/>
      <c r="G15" s="372"/>
      <c r="H15" s="373"/>
      <c r="I15" s="8"/>
    </row>
    <row r="16" spans="1:10" ht="34.5" customHeight="1" x14ac:dyDescent="0.2">
      <c r="A16" s="15"/>
      <c r="B16" s="15"/>
      <c r="C16" s="359"/>
      <c r="D16" s="361"/>
      <c r="E16" s="15"/>
      <c r="F16" s="17"/>
      <c r="G16" s="372"/>
      <c r="H16" s="373"/>
      <c r="I16" s="8"/>
    </row>
    <row r="17" spans="1:9" ht="34.5" customHeight="1" x14ac:dyDescent="0.2">
      <c r="A17" s="15"/>
      <c r="B17" s="15"/>
      <c r="C17" s="359"/>
      <c r="D17" s="361"/>
      <c r="E17" s="15"/>
      <c r="F17" s="17"/>
      <c r="G17" s="372"/>
      <c r="H17" s="373"/>
      <c r="I17" s="8"/>
    </row>
    <row r="18" spans="1:9" ht="34.5" customHeight="1" x14ac:dyDescent="0.2">
      <c r="A18" s="15"/>
      <c r="B18" s="15"/>
      <c r="C18" s="359"/>
      <c r="D18" s="361"/>
      <c r="E18" s="15"/>
      <c r="F18" s="17"/>
      <c r="G18" s="372"/>
      <c r="H18" s="373"/>
      <c r="I18" s="8"/>
    </row>
    <row r="19" spans="1:9" ht="19.5" customHeight="1" x14ac:dyDescent="0.2">
      <c r="A19" s="163" t="s">
        <v>21</v>
      </c>
      <c r="B19" s="163" t="s">
        <v>22</v>
      </c>
      <c r="C19" s="370" t="s">
        <v>23</v>
      </c>
      <c r="D19" s="370"/>
      <c r="E19" s="370"/>
      <c r="F19" s="370"/>
      <c r="G19" s="370"/>
      <c r="H19" s="370"/>
      <c r="I19" s="8"/>
    </row>
    <row r="20" spans="1:9" ht="29.25" customHeight="1" x14ac:dyDescent="0.2">
      <c r="A20" s="165"/>
      <c r="B20" s="18"/>
      <c r="C20" s="371"/>
      <c r="D20" s="371"/>
      <c r="E20" s="371"/>
      <c r="F20" s="371"/>
      <c r="G20" s="371"/>
      <c r="H20" s="371"/>
      <c r="I20" s="8"/>
    </row>
    <row r="21" spans="1:9" x14ac:dyDescent="0.2">
      <c r="A21" s="19"/>
      <c r="B21" s="19"/>
      <c r="C21" s="19"/>
      <c r="D21" s="19"/>
      <c r="E21" s="19"/>
      <c r="F21" s="19"/>
      <c r="G21" s="19"/>
      <c r="H21" s="19"/>
    </row>
  </sheetData>
  <mergeCells count="33">
    <mergeCell ref="G15:H15"/>
    <mergeCell ref="C16:D16"/>
    <mergeCell ref="G16:H16"/>
    <mergeCell ref="G12:H12"/>
    <mergeCell ref="C13:D13"/>
    <mergeCell ref="G13:H13"/>
    <mergeCell ref="C14:D14"/>
    <mergeCell ref="C11:D12"/>
    <mergeCell ref="E11:E12"/>
    <mergeCell ref="G11:H11"/>
    <mergeCell ref="A1:H1"/>
    <mergeCell ref="E7:F7"/>
    <mergeCell ref="B2:C2"/>
    <mergeCell ref="C19:H19"/>
    <mergeCell ref="C20:H20"/>
    <mergeCell ref="C17:D17"/>
    <mergeCell ref="G17:H17"/>
    <mergeCell ref="C18:D18"/>
    <mergeCell ref="G18:H18"/>
    <mergeCell ref="C15:D15"/>
    <mergeCell ref="A3:H3"/>
    <mergeCell ref="F2:H2"/>
    <mergeCell ref="G14:H14"/>
    <mergeCell ref="A10:H10"/>
    <mergeCell ref="A11:A12"/>
    <mergeCell ref="B11:B12"/>
    <mergeCell ref="B9:H9"/>
    <mergeCell ref="B7:C7"/>
    <mergeCell ref="D2:E2"/>
    <mergeCell ref="D8:H8"/>
    <mergeCell ref="B4:H4"/>
    <mergeCell ref="B5:H5"/>
    <mergeCell ref="B6:H6"/>
  </mergeCells>
  <dataValidations count="1">
    <dataValidation type="list" allowBlank="1" showInputMessage="1" showErrorMessage="1" sqref="F13:H18" xr:uid="{00000000-0002-0000-0100-000000000000}">
      <formula1>$J$1:$J$3</formula1>
    </dataValidation>
  </dataValidations>
  <pageMargins left="0.51181102362204722" right="0.19685039370078741" top="0.78740157480314965" bottom="0.78740157480314965" header="0.31496062992125984" footer="0.31496062992125984"/>
  <pageSetup paperSize="9" scale="75" orientation="portrait" r:id="rId1"/>
  <headerFooter>
    <oddHeader>&amp;C&amp;"-,Negrito"PLANILHA DE COMPOSIÇÃO DE CUSTOSDADOS CADASTRAIS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T267"/>
  <sheetViews>
    <sheetView showGridLines="0" tabSelected="1" zoomScaleNormal="100" zoomScaleSheetLayoutView="100" workbookViewId="0">
      <selection activeCell="E227" sqref="E227"/>
    </sheetView>
  </sheetViews>
  <sheetFormatPr defaultColWidth="9.140625" defaultRowHeight="15" customHeight="1" x14ac:dyDescent="0.2"/>
  <cols>
    <col min="1" max="1" width="7.140625" style="56" customWidth="1"/>
    <col min="2" max="3" width="14.85546875" style="56" customWidth="1"/>
    <col min="4" max="4" width="11.42578125" style="56" customWidth="1"/>
    <col min="5" max="5" width="15.42578125" style="56" customWidth="1"/>
    <col min="6" max="9" width="11.42578125" style="56" customWidth="1"/>
    <col min="10" max="10" width="15.5703125" style="56" customWidth="1"/>
    <col min="11" max="11" width="11.28515625" style="9" bestFit="1" customWidth="1"/>
    <col min="12" max="12" width="12.140625" style="9" bestFit="1" customWidth="1"/>
    <col min="13" max="13" width="15.140625" style="39" customWidth="1"/>
    <col min="14" max="14" width="9.42578125" style="39" customWidth="1"/>
    <col min="15" max="15" width="2.42578125" style="9" customWidth="1"/>
    <col min="16" max="16" width="10.5703125" style="9" bestFit="1" customWidth="1"/>
    <col min="17" max="16384" width="9.140625" style="9"/>
  </cols>
  <sheetData>
    <row r="1" spans="1:20" ht="15" customHeight="1" x14ac:dyDescent="0.2">
      <c r="A1" s="406" t="s">
        <v>24</v>
      </c>
      <c r="B1" s="406"/>
      <c r="C1" s="406"/>
      <c r="D1" s="406"/>
      <c r="E1" s="406"/>
      <c r="F1" s="406"/>
      <c r="G1" s="406"/>
      <c r="H1" s="406"/>
      <c r="I1" s="406"/>
      <c r="J1" s="406"/>
      <c r="L1" s="61"/>
      <c r="M1" s="37" t="s">
        <v>5</v>
      </c>
      <c r="N1" s="37" t="s">
        <v>25</v>
      </c>
      <c r="O1" s="11"/>
      <c r="P1" s="11"/>
      <c r="Q1" s="11"/>
      <c r="R1" s="11"/>
      <c r="S1" s="61"/>
      <c r="T1" s="61"/>
    </row>
    <row r="2" spans="1:20" ht="13.9" customHeight="1" x14ac:dyDescent="0.2">
      <c r="A2" s="380" t="s">
        <v>6</v>
      </c>
      <c r="B2" s="380"/>
      <c r="C2" s="380"/>
      <c r="D2" s="380"/>
      <c r="E2" s="380"/>
      <c r="F2" s="408" t="str">
        <f>IF('Dados Cadastrais'!B4=0,"",'Dados Cadastrais'!B4)</f>
        <v/>
      </c>
      <c r="G2" s="408"/>
      <c r="H2" s="408"/>
      <c r="I2" s="408"/>
      <c r="J2" s="408"/>
      <c r="K2" s="8"/>
      <c r="L2" s="61"/>
      <c r="M2" s="11" t="s">
        <v>3</v>
      </c>
      <c r="N2" s="37" t="s">
        <v>26</v>
      </c>
      <c r="O2" s="11"/>
      <c r="P2" s="11"/>
      <c r="Q2" s="11"/>
      <c r="R2" s="11"/>
      <c r="S2" s="61"/>
      <c r="T2" s="61"/>
    </row>
    <row r="3" spans="1:20" ht="13.9" customHeight="1" x14ac:dyDescent="0.2">
      <c r="A3" s="380" t="s">
        <v>7</v>
      </c>
      <c r="B3" s="380"/>
      <c r="C3" s="380"/>
      <c r="D3" s="380"/>
      <c r="E3" s="380"/>
      <c r="F3" s="408" t="str">
        <f>IF('Dados Cadastrais'!B5=0,"",'Dados Cadastrais'!B5)</f>
        <v/>
      </c>
      <c r="G3" s="408"/>
      <c r="H3" s="408"/>
      <c r="I3" s="408"/>
      <c r="J3" s="408"/>
      <c r="K3" s="8"/>
      <c r="L3" s="61"/>
      <c r="M3" s="11"/>
      <c r="N3" s="37" t="s">
        <v>27</v>
      </c>
      <c r="O3" s="11"/>
      <c r="P3" s="11"/>
      <c r="Q3" s="11"/>
      <c r="R3" s="11"/>
      <c r="S3" s="61"/>
      <c r="T3" s="61"/>
    </row>
    <row r="4" spans="1:20" ht="14.45" customHeight="1" x14ac:dyDescent="0.2">
      <c r="A4" s="380" t="s">
        <v>28</v>
      </c>
      <c r="B4" s="380"/>
      <c r="C4" s="380"/>
      <c r="D4" s="380"/>
      <c r="E4" s="380"/>
      <c r="F4" s="381" t="s">
        <v>29</v>
      </c>
      <c r="G4" s="382"/>
      <c r="H4" s="382"/>
      <c r="I4" s="382"/>
      <c r="J4" s="383"/>
      <c r="K4" s="8"/>
      <c r="L4" s="61"/>
      <c r="M4" s="61"/>
      <c r="N4" s="62"/>
      <c r="O4" s="61"/>
      <c r="P4" s="61"/>
      <c r="Q4" s="61"/>
      <c r="R4" s="61"/>
      <c r="S4" s="61"/>
      <c r="T4" s="61"/>
    </row>
    <row r="5" spans="1:20" ht="13.9" customHeight="1" x14ac:dyDescent="0.2">
      <c r="A5" s="380" t="s">
        <v>30</v>
      </c>
      <c r="B5" s="380"/>
      <c r="C5" s="380"/>
      <c r="D5" s="380"/>
      <c r="E5" s="380"/>
      <c r="F5" s="381" t="s">
        <v>31</v>
      </c>
      <c r="G5" s="382"/>
      <c r="H5" s="382"/>
      <c r="I5" s="382"/>
      <c r="J5" s="383"/>
      <c r="K5" s="8"/>
      <c r="L5" s="61"/>
      <c r="M5" s="61"/>
      <c r="N5" s="62"/>
      <c r="O5" s="61"/>
      <c r="P5" s="61"/>
      <c r="Q5" s="61"/>
      <c r="R5" s="61"/>
      <c r="S5" s="61"/>
      <c r="T5" s="61"/>
    </row>
    <row r="6" spans="1:20" ht="13.9" customHeight="1" x14ac:dyDescent="0.2">
      <c r="A6" s="407" t="s">
        <v>32</v>
      </c>
      <c r="B6" s="407"/>
      <c r="C6" s="407"/>
      <c r="D6" s="407"/>
      <c r="E6" s="407"/>
      <c r="F6" s="34" t="s">
        <v>3</v>
      </c>
      <c r="G6" s="409"/>
      <c r="H6" s="409"/>
      <c r="I6" s="409"/>
      <c r="J6" s="409"/>
      <c r="K6" s="38"/>
      <c r="L6" s="61"/>
      <c r="M6" s="61"/>
      <c r="N6" s="62"/>
      <c r="O6" s="61"/>
      <c r="P6" s="61"/>
      <c r="Q6" s="61"/>
      <c r="R6" s="61"/>
      <c r="S6" s="61"/>
      <c r="T6" s="61"/>
    </row>
    <row r="7" spans="1:20" ht="13.9" customHeight="1" x14ac:dyDescent="0.2">
      <c r="A7" s="380" t="s">
        <v>33</v>
      </c>
      <c r="B7" s="380"/>
      <c r="C7" s="380"/>
      <c r="D7" s="380"/>
      <c r="E7" s="380"/>
      <c r="F7" s="384" t="s">
        <v>25</v>
      </c>
      <c r="G7" s="385"/>
      <c r="H7" s="385"/>
      <c r="I7" s="385"/>
      <c r="J7" s="386"/>
      <c r="K7" s="38"/>
      <c r="L7" s="61"/>
      <c r="M7" s="61"/>
      <c r="N7" s="61"/>
      <c r="O7" s="61"/>
      <c r="P7" s="61"/>
      <c r="Q7" s="61"/>
      <c r="R7" s="61"/>
      <c r="S7" s="61"/>
      <c r="T7" s="61"/>
    </row>
    <row r="8" spans="1:20" ht="13.9" customHeight="1" x14ac:dyDescent="0.2">
      <c r="A8" s="380" t="s">
        <v>34</v>
      </c>
      <c r="B8" s="380"/>
      <c r="C8" s="380"/>
      <c r="D8" s="380"/>
      <c r="E8" s="380"/>
      <c r="F8" s="381">
        <v>0.03</v>
      </c>
      <c r="G8" s="382"/>
      <c r="H8" s="382"/>
      <c r="I8" s="382"/>
      <c r="J8" s="383"/>
      <c r="K8" s="8"/>
      <c r="L8" s="61"/>
      <c r="M8" s="61"/>
      <c r="N8" s="61"/>
      <c r="O8" s="61"/>
      <c r="P8" s="61"/>
      <c r="Q8" s="61"/>
      <c r="R8" s="61"/>
      <c r="S8" s="61"/>
      <c r="T8" s="61"/>
    </row>
    <row r="9" spans="1:20" ht="13.9" customHeight="1" x14ac:dyDescent="0.2">
      <c r="A9" s="380" t="s">
        <v>35</v>
      </c>
      <c r="B9" s="380"/>
      <c r="C9" s="380"/>
      <c r="D9" s="380"/>
      <c r="E9" s="380"/>
      <c r="F9" s="381">
        <v>5.8099999999999999E-2</v>
      </c>
      <c r="G9" s="390"/>
      <c r="H9" s="390"/>
      <c r="I9" s="390"/>
      <c r="J9" s="391"/>
      <c r="K9" s="8"/>
      <c r="L9" s="61"/>
      <c r="M9" s="61"/>
      <c r="N9" s="61"/>
      <c r="O9" s="61"/>
      <c r="P9" s="61"/>
      <c r="Q9" s="61"/>
      <c r="R9" s="61"/>
      <c r="S9" s="61"/>
      <c r="T9" s="61"/>
    </row>
    <row r="10" spans="1:20" ht="13.9" customHeight="1" x14ac:dyDescent="0.2">
      <c r="A10" s="380" t="s">
        <v>36</v>
      </c>
      <c r="B10" s="380"/>
      <c r="C10" s="380"/>
      <c r="D10" s="380"/>
      <c r="E10" s="380"/>
      <c r="F10" s="381">
        <v>7.1999999999999995E-2</v>
      </c>
      <c r="G10" s="390"/>
      <c r="H10" s="390"/>
      <c r="I10" s="390"/>
      <c r="J10" s="391"/>
      <c r="K10" s="8"/>
      <c r="L10" s="61"/>
      <c r="M10" s="61"/>
      <c r="N10" s="61"/>
      <c r="O10" s="61"/>
      <c r="P10" s="61"/>
      <c r="Q10" s="61"/>
      <c r="R10" s="61"/>
      <c r="S10" s="61"/>
      <c r="T10" s="61"/>
    </row>
    <row r="11" spans="1:20" ht="13.9" customHeight="1" x14ac:dyDescent="0.2">
      <c r="A11" s="380" t="s">
        <v>37</v>
      </c>
      <c r="B11" s="380"/>
      <c r="C11" s="380"/>
      <c r="D11" s="380"/>
      <c r="E11" s="380"/>
      <c r="F11" s="381">
        <v>7.5999999999999998E-2</v>
      </c>
      <c r="G11" s="390"/>
      <c r="H11" s="390"/>
      <c r="I11" s="390"/>
      <c r="J11" s="391"/>
      <c r="K11" s="8"/>
      <c r="L11" s="61"/>
      <c r="M11" s="61"/>
      <c r="N11" s="61"/>
      <c r="O11" s="61"/>
      <c r="P11" s="61"/>
      <c r="Q11" s="61"/>
      <c r="R11" s="61"/>
      <c r="S11" s="61"/>
      <c r="T11" s="61"/>
    </row>
    <row r="12" spans="1:20" ht="13.9" customHeight="1" x14ac:dyDescent="0.2">
      <c r="A12" s="380" t="s">
        <v>38</v>
      </c>
      <c r="B12" s="380"/>
      <c r="C12" s="380"/>
      <c r="D12" s="380"/>
      <c r="E12" s="380"/>
      <c r="F12" s="381">
        <v>1.6500000000000001E-2</v>
      </c>
      <c r="G12" s="390"/>
      <c r="H12" s="390"/>
      <c r="I12" s="390"/>
      <c r="J12" s="391"/>
      <c r="K12" s="8"/>
      <c r="L12" s="61"/>
      <c r="M12" s="61"/>
      <c r="N12" s="61"/>
      <c r="O12" s="61"/>
      <c r="P12" s="61"/>
      <c r="Q12" s="61"/>
      <c r="R12" s="61"/>
      <c r="S12" s="61"/>
      <c r="T12" s="61"/>
    </row>
    <row r="13" spans="1:20" ht="13.9" customHeight="1" x14ac:dyDescent="0.2">
      <c r="A13" s="380" t="s">
        <v>39</v>
      </c>
      <c r="B13" s="380"/>
      <c r="C13" s="380"/>
      <c r="D13" s="380"/>
      <c r="E13" s="380"/>
      <c r="F13" s="381"/>
      <c r="G13" s="390"/>
      <c r="H13" s="390"/>
      <c r="I13" s="390"/>
      <c r="J13" s="391"/>
      <c r="K13" s="8"/>
      <c r="L13" s="61"/>
      <c r="M13" s="61"/>
      <c r="N13" s="61"/>
      <c r="O13" s="61"/>
      <c r="P13" s="61"/>
      <c r="Q13" s="61"/>
      <c r="R13" s="61"/>
      <c r="S13" s="61"/>
      <c r="T13" s="61"/>
    </row>
    <row r="14" spans="1:20" ht="13.9" customHeight="1" x14ac:dyDescent="0.2">
      <c r="A14" s="380" t="s">
        <v>40</v>
      </c>
      <c r="B14" s="380"/>
      <c r="C14" s="380"/>
      <c r="D14" s="380"/>
      <c r="E14" s="380"/>
      <c r="F14" s="71">
        <v>30</v>
      </c>
      <c r="G14" s="410" t="s">
        <v>41</v>
      </c>
      <c r="H14" s="410"/>
      <c r="I14" s="410"/>
      <c r="J14" s="410"/>
      <c r="K14" s="8"/>
      <c r="L14" s="61"/>
      <c r="M14" s="61"/>
      <c r="N14" s="61"/>
      <c r="O14" s="61"/>
      <c r="P14" s="61"/>
      <c r="Q14" s="61"/>
      <c r="R14" s="61"/>
      <c r="S14" s="61"/>
      <c r="T14" s="61"/>
    </row>
    <row r="15" spans="1:20" ht="7.15" customHeight="1" x14ac:dyDescent="0.2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8"/>
    </row>
    <row r="16" spans="1:20" ht="15" customHeight="1" x14ac:dyDescent="0.2">
      <c r="A16" s="392" t="s">
        <v>42</v>
      </c>
      <c r="B16" s="392"/>
      <c r="C16" s="392"/>
      <c r="D16" s="392"/>
      <c r="E16" s="392"/>
      <c r="F16" s="392"/>
      <c r="G16" s="392"/>
      <c r="H16" s="392"/>
      <c r="I16" s="392"/>
      <c r="J16" s="41" t="s">
        <v>43</v>
      </c>
      <c r="K16" s="8"/>
    </row>
    <row r="17" spans="1:11" ht="15" customHeight="1" x14ac:dyDescent="0.2">
      <c r="A17" s="42">
        <v>1</v>
      </c>
      <c r="B17" s="387" t="s">
        <v>44</v>
      </c>
      <c r="C17" s="388"/>
      <c r="D17" s="388"/>
      <c r="E17" s="388"/>
      <c r="F17" s="388"/>
      <c r="G17" s="388"/>
      <c r="H17" s="388"/>
      <c r="I17" s="389"/>
      <c r="J17" s="2">
        <f>IF($F$13&gt;0%,0,20%)</f>
        <v>0.2</v>
      </c>
      <c r="K17" s="8"/>
    </row>
    <row r="18" spans="1:11" ht="15" customHeight="1" x14ac:dyDescent="0.2">
      <c r="A18" s="42">
        <v>2</v>
      </c>
      <c r="B18" s="387" t="s">
        <v>45</v>
      </c>
      <c r="C18" s="388"/>
      <c r="D18" s="388"/>
      <c r="E18" s="388"/>
      <c r="F18" s="388"/>
      <c r="G18" s="388"/>
      <c r="H18" s="388"/>
      <c r="I18" s="389"/>
      <c r="J18" s="2">
        <f>IF($F$7="Simples Nacional",0,IF($F$7&lt;&gt;"",1.5%,"Informar regime tributário"))</f>
        <v>1.4999999999999999E-2</v>
      </c>
      <c r="K18" s="8"/>
    </row>
    <row r="19" spans="1:11" ht="15" customHeight="1" x14ac:dyDescent="0.2">
      <c r="A19" s="42">
        <v>3</v>
      </c>
      <c r="B19" s="387" t="s">
        <v>46</v>
      </c>
      <c r="C19" s="388"/>
      <c r="D19" s="388"/>
      <c r="E19" s="388"/>
      <c r="F19" s="388"/>
      <c r="G19" s="388"/>
      <c r="H19" s="388"/>
      <c r="I19" s="389"/>
      <c r="J19" s="2">
        <f>IF($F$7="Simples Nacional",0,IF($F$7&lt;&gt;"",1%,"Informar regime tributário"))</f>
        <v>0.01</v>
      </c>
      <c r="K19" s="8"/>
    </row>
    <row r="20" spans="1:11" ht="15" customHeight="1" x14ac:dyDescent="0.2">
      <c r="A20" s="42">
        <v>4</v>
      </c>
      <c r="B20" s="387" t="s">
        <v>47</v>
      </c>
      <c r="C20" s="388"/>
      <c r="D20" s="388"/>
      <c r="E20" s="388"/>
      <c r="F20" s="388"/>
      <c r="G20" s="388"/>
      <c r="H20" s="388"/>
      <c r="I20" s="389"/>
      <c r="J20" s="2">
        <f>IF($F$7="Simples Nacional",0,IF($F$7&lt;&gt;"",0.2%,"Informar regime tributário"))</f>
        <v>2E-3</v>
      </c>
      <c r="K20" s="8"/>
    </row>
    <row r="21" spans="1:11" ht="15" customHeight="1" x14ac:dyDescent="0.2">
      <c r="A21" s="42">
        <v>5</v>
      </c>
      <c r="B21" s="387" t="s">
        <v>48</v>
      </c>
      <c r="C21" s="388"/>
      <c r="D21" s="388"/>
      <c r="E21" s="388"/>
      <c r="F21" s="388"/>
      <c r="G21" s="388"/>
      <c r="H21" s="388"/>
      <c r="I21" s="389"/>
      <c r="J21" s="2">
        <f>IF($F$7="Simples Nacional",0,IF($F$7&lt;&gt;"",2.5%,"Informar regime tributário"))</f>
        <v>2.5000000000000001E-2</v>
      </c>
      <c r="K21" s="8"/>
    </row>
    <row r="22" spans="1:11" ht="15" customHeight="1" x14ac:dyDescent="0.2">
      <c r="A22" s="42">
        <v>6</v>
      </c>
      <c r="B22" s="387" t="s">
        <v>49</v>
      </c>
      <c r="C22" s="388"/>
      <c r="D22" s="388"/>
      <c r="E22" s="388"/>
      <c r="F22" s="388"/>
      <c r="G22" s="388"/>
      <c r="H22" s="388"/>
      <c r="I22" s="389"/>
      <c r="J22" s="2">
        <v>0.08</v>
      </c>
      <c r="K22" s="8"/>
    </row>
    <row r="23" spans="1:11" ht="15" customHeight="1" x14ac:dyDescent="0.2">
      <c r="A23" s="42">
        <v>7</v>
      </c>
      <c r="B23" s="387" t="s">
        <v>50</v>
      </c>
      <c r="C23" s="388"/>
      <c r="D23" s="388"/>
      <c r="E23" s="388"/>
      <c r="F23" s="388"/>
      <c r="G23" s="388"/>
      <c r="H23" s="388"/>
      <c r="I23" s="389"/>
      <c r="J23" s="2">
        <f>IF(F8=0,"Informar SAT",$F$8)</f>
        <v>0.03</v>
      </c>
      <c r="K23" s="8"/>
    </row>
    <row r="24" spans="1:11" ht="15" customHeight="1" x14ac:dyDescent="0.2">
      <c r="A24" s="42">
        <v>8</v>
      </c>
      <c r="B24" s="387" t="s">
        <v>51</v>
      </c>
      <c r="C24" s="388"/>
      <c r="D24" s="388"/>
      <c r="E24" s="388"/>
      <c r="F24" s="388"/>
      <c r="G24" s="388"/>
      <c r="H24" s="388"/>
      <c r="I24" s="389"/>
      <c r="J24" s="2">
        <f>IF($F$7="Simples Nacional",0,IF($F$7&lt;&gt;"",0.6%,"Informar regime tributário"))</f>
        <v>6.0000000000000001E-3</v>
      </c>
      <c r="K24" s="8"/>
    </row>
    <row r="25" spans="1:11" ht="15" customHeight="1" x14ac:dyDescent="0.2">
      <c r="A25" s="399" t="s">
        <v>52</v>
      </c>
      <c r="B25" s="400"/>
      <c r="C25" s="400"/>
      <c r="D25" s="400"/>
      <c r="E25" s="400"/>
      <c r="F25" s="400"/>
      <c r="G25" s="400"/>
      <c r="H25" s="400"/>
      <c r="I25" s="401"/>
      <c r="J25" s="43">
        <f>SUM(J17:J24)</f>
        <v>0.3680000000000001</v>
      </c>
      <c r="K25" s="8"/>
    </row>
    <row r="26" spans="1:11" ht="7.15" customHeight="1" x14ac:dyDescent="0.2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8"/>
    </row>
    <row r="27" spans="1:11" ht="15" customHeight="1" x14ac:dyDescent="0.2">
      <c r="A27" s="392" t="s">
        <v>53</v>
      </c>
      <c r="B27" s="392"/>
      <c r="C27" s="392"/>
      <c r="D27" s="392"/>
      <c r="E27" s="392"/>
      <c r="F27" s="392"/>
      <c r="G27" s="392"/>
      <c r="H27" s="392"/>
      <c r="I27" s="392"/>
      <c r="J27" s="392"/>
      <c r="K27" s="8"/>
    </row>
    <row r="28" spans="1:11" ht="15" customHeight="1" x14ac:dyDescent="0.2">
      <c r="A28" s="42">
        <v>1</v>
      </c>
      <c r="B28" s="387" t="s">
        <v>54</v>
      </c>
      <c r="C28" s="388"/>
      <c r="D28" s="388"/>
      <c r="E28" s="388"/>
      <c r="F28" s="388"/>
      <c r="G28" s="388"/>
      <c r="H28" s="388"/>
      <c r="I28" s="389"/>
      <c r="J28" s="318">
        <f>ROUND(5/56,4)</f>
        <v>8.9300000000000004E-2</v>
      </c>
      <c r="K28" s="8"/>
    </row>
    <row r="29" spans="1:11" ht="15" customHeight="1" x14ac:dyDescent="0.2">
      <c r="A29" s="42">
        <v>2</v>
      </c>
      <c r="B29" s="387" t="s">
        <v>55</v>
      </c>
      <c r="C29" s="388"/>
      <c r="D29" s="388"/>
      <c r="E29" s="388"/>
      <c r="F29" s="388"/>
      <c r="G29" s="388"/>
      <c r="H29" s="388"/>
      <c r="I29" s="389"/>
      <c r="J29" s="318">
        <f>ROUND(J28/3,4)</f>
        <v>2.98E-2</v>
      </c>
      <c r="K29" s="8"/>
    </row>
    <row r="30" spans="1:11" ht="15" customHeight="1" x14ac:dyDescent="0.2">
      <c r="A30" s="42">
        <v>3</v>
      </c>
      <c r="B30" s="387" t="s">
        <v>56</v>
      </c>
      <c r="C30" s="388"/>
      <c r="D30" s="388"/>
      <c r="E30" s="388"/>
      <c r="F30" s="388"/>
      <c r="G30" s="388"/>
      <c r="H30" s="388"/>
      <c r="I30" s="389"/>
      <c r="J30" s="318">
        <f>ROUND((J28+J29)*J25,4)</f>
        <v>4.3799999999999999E-2</v>
      </c>
      <c r="K30" s="8"/>
    </row>
    <row r="31" spans="1:11" ht="15" customHeight="1" x14ac:dyDescent="0.2">
      <c r="A31" s="399" t="s">
        <v>57</v>
      </c>
      <c r="B31" s="400"/>
      <c r="C31" s="400"/>
      <c r="D31" s="400"/>
      <c r="E31" s="400"/>
      <c r="F31" s="400"/>
      <c r="G31" s="400"/>
      <c r="H31" s="400"/>
      <c r="I31" s="401"/>
      <c r="J31" s="43">
        <f>SUM(J28:J30)</f>
        <v>0.16290000000000002</v>
      </c>
      <c r="K31" s="8"/>
    </row>
    <row r="32" spans="1:11" ht="7.15" customHeight="1" x14ac:dyDescent="0.2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8"/>
    </row>
    <row r="33" spans="1:14" ht="15" customHeight="1" x14ac:dyDescent="0.2">
      <c r="A33" s="392" t="s">
        <v>58</v>
      </c>
      <c r="B33" s="392"/>
      <c r="C33" s="392"/>
      <c r="D33" s="392"/>
      <c r="E33" s="392"/>
      <c r="F33" s="392"/>
      <c r="G33" s="392"/>
      <c r="H33" s="392"/>
      <c r="I33" s="392"/>
      <c r="J33" s="392"/>
      <c r="K33" s="8"/>
      <c r="M33" s="44"/>
      <c r="N33" s="44"/>
    </row>
    <row r="34" spans="1:14" ht="15" customHeight="1" x14ac:dyDescent="0.2">
      <c r="A34" s="42">
        <v>1</v>
      </c>
      <c r="B34" s="387" t="s">
        <v>56</v>
      </c>
      <c r="C34" s="388"/>
      <c r="D34" s="388"/>
      <c r="E34" s="388"/>
      <c r="F34" s="388"/>
      <c r="G34" s="388"/>
      <c r="H34" s="388"/>
      <c r="I34" s="389"/>
      <c r="J34" s="2">
        <f>((120*0.6794*64.589%*70.91%*5.5714%)/220.2768)*J22</f>
        <v>7.5554163675678747E-4</v>
      </c>
      <c r="K34" s="248"/>
    </row>
    <row r="35" spans="1:14" ht="15" customHeight="1" x14ac:dyDescent="0.2">
      <c r="A35" s="399" t="s">
        <v>59</v>
      </c>
      <c r="B35" s="400"/>
      <c r="C35" s="400"/>
      <c r="D35" s="400"/>
      <c r="E35" s="400"/>
      <c r="F35" s="400"/>
      <c r="G35" s="400"/>
      <c r="H35" s="400"/>
      <c r="I35" s="401"/>
      <c r="J35" s="43">
        <f>SUM(J34:J34)</f>
        <v>7.5554163675678747E-4</v>
      </c>
      <c r="K35" s="8"/>
    </row>
    <row r="36" spans="1:14" ht="7.15" customHeight="1" x14ac:dyDescent="0.2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8"/>
    </row>
    <row r="37" spans="1:14" ht="15" customHeight="1" x14ac:dyDescent="0.2">
      <c r="A37" s="392" t="s">
        <v>60</v>
      </c>
      <c r="B37" s="392"/>
      <c r="C37" s="392"/>
      <c r="D37" s="392"/>
      <c r="E37" s="392"/>
      <c r="F37" s="392"/>
      <c r="G37" s="392"/>
      <c r="H37" s="392"/>
      <c r="I37" s="392"/>
      <c r="J37" s="392"/>
      <c r="K37" s="8"/>
      <c r="M37" s="46"/>
    </row>
    <row r="38" spans="1:14" ht="15" customHeight="1" x14ac:dyDescent="0.2">
      <c r="A38" s="42">
        <v>1</v>
      </c>
      <c r="B38" s="387" t="s">
        <v>61</v>
      </c>
      <c r="C38" s="388"/>
      <c r="D38" s="388"/>
      <c r="E38" s="388"/>
      <c r="F38" s="388"/>
      <c r="G38" s="388"/>
      <c r="H38" s="388"/>
      <c r="I38" s="389"/>
      <c r="J38" s="2">
        <f>ROUND((98%*27.7988%*33)/220.2768,4)</f>
        <v>4.0800000000000003E-2</v>
      </c>
      <c r="K38" s="47"/>
      <c r="M38" s="48"/>
    </row>
    <row r="39" spans="1:14" ht="15" customHeight="1" x14ac:dyDescent="0.2">
      <c r="A39" s="42">
        <v>2</v>
      </c>
      <c r="B39" s="387" t="s">
        <v>62</v>
      </c>
      <c r="C39" s="388"/>
      <c r="D39" s="388"/>
      <c r="E39" s="388"/>
      <c r="F39" s="388"/>
      <c r="G39" s="388"/>
      <c r="H39" s="388"/>
      <c r="I39" s="389"/>
      <c r="J39" s="318">
        <f>ROUND(J38*$J$22,4)</f>
        <v>3.3E-3</v>
      </c>
      <c r="K39" s="8"/>
      <c r="M39" s="46"/>
    </row>
    <row r="40" spans="1:14" ht="15" customHeight="1" x14ac:dyDescent="0.2">
      <c r="A40" s="42">
        <v>3</v>
      </c>
      <c r="B40" s="387" t="s">
        <v>63</v>
      </c>
      <c r="C40" s="388"/>
      <c r="D40" s="388"/>
      <c r="E40" s="388"/>
      <c r="F40" s="388"/>
      <c r="G40" s="388"/>
      <c r="H40" s="388"/>
      <c r="I40" s="389"/>
      <c r="J40" s="318">
        <f>ROUND(J39*40%,4)</f>
        <v>1.2999999999999999E-3</v>
      </c>
      <c r="K40" s="8"/>
      <c r="M40" s="48"/>
    </row>
    <row r="41" spans="1:14" ht="15" customHeight="1" x14ac:dyDescent="0.2">
      <c r="A41" s="42">
        <v>4</v>
      </c>
      <c r="B41" s="387" t="s">
        <v>64</v>
      </c>
      <c r="C41" s="388"/>
      <c r="D41" s="388"/>
      <c r="E41" s="388"/>
      <c r="F41" s="388"/>
      <c r="G41" s="388"/>
      <c r="H41" s="388"/>
      <c r="I41" s="389"/>
      <c r="J41" s="318">
        <f>ROUND((7*0.6794*2%*27.7988%/220.2768),4)</f>
        <v>1E-4</v>
      </c>
      <c r="K41" s="8"/>
      <c r="M41" s="328"/>
    </row>
    <row r="42" spans="1:14" ht="15" customHeight="1" x14ac:dyDescent="0.2">
      <c r="A42" s="42">
        <v>5</v>
      </c>
      <c r="B42" s="387" t="s">
        <v>65</v>
      </c>
      <c r="C42" s="388"/>
      <c r="D42" s="388"/>
      <c r="E42" s="388"/>
      <c r="F42" s="388"/>
      <c r="G42" s="388"/>
      <c r="H42" s="388"/>
      <c r="I42" s="389"/>
      <c r="J42" s="318">
        <f>ROUND(J41*$J$25,4)</f>
        <v>0</v>
      </c>
      <c r="K42" s="8"/>
      <c r="L42" s="326"/>
      <c r="M42" s="324"/>
      <c r="N42" s="50"/>
    </row>
    <row r="43" spans="1:14" ht="15" customHeight="1" x14ac:dyDescent="0.2">
      <c r="A43" s="42">
        <v>6</v>
      </c>
      <c r="B43" s="387" t="s">
        <v>66</v>
      </c>
      <c r="C43" s="388"/>
      <c r="D43" s="388"/>
      <c r="E43" s="388"/>
      <c r="F43" s="388"/>
      <c r="G43" s="388"/>
      <c r="H43" s="388"/>
      <c r="I43" s="389"/>
      <c r="J43" s="318">
        <f>ROUND(J41*8%*40%,4)</f>
        <v>0</v>
      </c>
      <c r="K43" s="8"/>
      <c r="L43" s="327"/>
      <c r="M43" s="325"/>
      <c r="N43" s="50"/>
    </row>
    <row r="44" spans="1:14" ht="15" customHeight="1" x14ac:dyDescent="0.2">
      <c r="A44" s="320">
        <v>7</v>
      </c>
      <c r="B44" s="387" t="s">
        <v>67</v>
      </c>
      <c r="C44" s="388"/>
      <c r="D44" s="388"/>
      <c r="E44" s="388"/>
      <c r="F44" s="388"/>
      <c r="G44" s="388"/>
      <c r="H44" s="388"/>
      <c r="I44" s="389"/>
      <c r="J44" s="321">
        <f>ROUND((1%*(1/12)),4)</f>
        <v>8.0000000000000004E-4</v>
      </c>
      <c r="K44" s="323"/>
      <c r="L44" s="322"/>
      <c r="M44" s="329"/>
    </row>
    <row r="45" spans="1:14" ht="15" customHeight="1" x14ac:dyDescent="0.2">
      <c r="A45" s="338">
        <v>8</v>
      </c>
      <c r="B45" s="411" t="s">
        <v>68</v>
      </c>
      <c r="C45" s="412"/>
      <c r="D45" s="412"/>
      <c r="E45" s="412"/>
      <c r="F45" s="412"/>
      <c r="G45" s="412"/>
      <c r="H45" s="412"/>
      <c r="I45" s="412"/>
      <c r="J45" s="321">
        <f>ROUND(8%*40%*27.7988%*(1+(0.944%+J56+J57+J58+J59)),5)</f>
        <v>9.2099999999999994E-3</v>
      </c>
      <c r="K45" s="8"/>
      <c r="L45" s="330"/>
    </row>
    <row r="46" spans="1:14" ht="15" customHeight="1" x14ac:dyDescent="0.2">
      <c r="A46" s="402" t="s">
        <v>69</v>
      </c>
      <c r="B46" s="400"/>
      <c r="C46" s="400"/>
      <c r="D46" s="400"/>
      <c r="E46" s="400"/>
      <c r="F46" s="400"/>
      <c r="G46" s="400"/>
      <c r="H46" s="400"/>
      <c r="I46" s="401"/>
      <c r="J46" s="43">
        <f>SUM(J38:J45)</f>
        <v>5.5510000000000004E-2</v>
      </c>
      <c r="K46" s="8"/>
      <c r="L46" s="61"/>
    </row>
    <row r="47" spans="1:14" ht="7.15" customHeight="1" x14ac:dyDescent="0.2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8"/>
      <c r="L47" s="61"/>
    </row>
    <row r="48" spans="1:14" ht="15" customHeight="1" x14ac:dyDescent="0.2">
      <c r="A48" s="392" t="s">
        <v>70</v>
      </c>
      <c r="B48" s="392"/>
      <c r="C48" s="392"/>
      <c r="D48" s="392"/>
      <c r="E48" s="392"/>
      <c r="F48" s="392"/>
      <c r="G48" s="392"/>
      <c r="H48" s="392"/>
      <c r="I48" s="392"/>
      <c r="J48" s="392"/>
      <c r="K48" s="8"/>
      <c r="L48" s="61"/>
    </row>
    <row r="49" spans="1:12" ht="15" customHeight="1" x14ac:dyDescent="0.2">
      <c r="A49" s="42">
        <v>1</v>
      </c>
      <c r="B49" s="387" t="s">
        <v>71</v>
      </c>
      <c r="C49" s="388"/>
      <c r="D49" s="388"/>
      <c r="E49" s="388"/>
      <c r="F49" s="388"/>
      <c r="G49" s="388"/>
      <c r="H49" s="388"/>
      <c r="I49" s="389"/>
      <c r="J49" s="331">
        <f>ROUND(1*8%*40%*90%,4)</f>
        <v>2.8799999999999999E-2</v>
      </c>
      <c r="K49" s="8"/>
      <c r="L49" s="61"/>
    </row>
    <row r="50" spans="1:12" ht="15" customHeight="1" x14ac:dyDescent="0.2">
      <c r="A50" s="42">
        <v>2</v>
      </c>
      <c r="B50" s="387" t="s">
        <v>72</v>
      </c>
      <c r="C50" s="388"/>
      <c r="D50" s="388"/>
      <c r="E50" s="388"/>
      <c r="F50" s="388"/>
      <c r="G50" s="388"/>
      <c r="H50" s="388"/>
      <c r="I50" s="389"/>
      <c r="J50" s="318">
        <f>ROUND(($J$28+$J$29)*8%*40%*90%,4)</f>
        <v>3.3999999999999998E-3</v>
      </c>
      <c r="K50" s="38"/>
      <c r="L50" s="61"/>
    </row>
    <row r="51" spans="1:12" ht="15" customHeight="1" x14ac:dyDescent="0.2">
      <c r="A51" s="42">
        <v>3</v>
      </c>
      <c r="B51" s="387" t="s">
        <v>73</v>
      </c>
      <c r="C51" s="388"/>
      <c r="D51" s="388"/>
      <c r="E51" s="388"/>
      <c r="F51" s="388"/>
      <c r="G51" s="388"/>
      <c r="H51" s="388"/>
      <c r="I51" s="389"/>
      <c r="J51" s="318">
        <f>ROUND(J28*8%*40%*90%,4)</f>
        <v>2.5999999999999999E-3</v>
      </c>
      <c r="K51" s="8"/>
      <c r="L51" s="61"/>
    </row>
    <row r="52" spans="1:12" ht="15" customHeight="1" x14ac:dyDescent="0.2">
      <c r="A52" s="399" t="s">
        <v>74</v>
      </c>
      <c r="B52" s="400"/>
      <c r="C52" s="400"/>
      <c r="D52" s="400"/>
      <c r="E52" s="400"/>
      <c r="F52" s="400"/>
      <c r="G52" s="400"/>
      <c r="H52" s="400"/>
      <c r="I52" s="401"/>
      <c r="J52" s="43">
        <f>SUM(J49:J51)</f>
        <v>3.4799999999999998E-2</v>
      </c>
      <c r="K52" s="8"/>
    </row>
    <row r="53" spans="1:12" ht="7.15" customHeight="1" x14ac:dyDescent="0.2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8"/>
    </row>
    <row r="54" spans="1:12" ht="15" customHeight="1" x14ac:dyDescent="0.2">
      <c r="A54" s="392" t="s">
        <v>75</v>
      </c>
      <c r="B54" s="392"/>
      <c r="C54" s="392"/>
      <c r="D54" s="392"/>
      <c r="E54" s="392"/>
      <c r="F54" s="392"/>
      <c r="G54" s="392"/>
      <c r="H54" s="392"/>
      <c r="I54" s="392"/>
      <c r="J54" s="392"/>
      <c r="K54" s="8"/>
    </row>
    <row r="55" spans="1:12" ht="13.9" customHeight="1" x14ac:dyDescent="0.2">
      <c r="A55" s="42">
        <v>1</v>
      </c>
      <c r="B55" s="387" t="s">
        <v>76</v>
      </c>
      <c r="C55" s="388"/>
      <c r="D55" s="388"/>
      <c r="E55" s="388"/>
      <c r="F55" s="388"/>
      <c r="G55" s="388"/>
      <c r="H55" s="388"/>
      <c r="I55" s="389"/>
      <c r="J55" s="318">
        <f>J28</f>
        <v>8.9300000000000004E-2</v>
      </c>
      <c r="K55" s="8"/>
      <c r="L55" s="332"/>
    </row>
    <row r="56" spans="1:12" ht="13.9" customHeight="1" x14ac:dyDescent="0.2">
      <c r="A56" s="42">
        <v>2</v>
      </c>
      <c r="B56" s="387" t="s">
        <v>77</v>
      </c>
      <c r="C56" s="388"/>
      <c r="D56" s="388"/>
      <c r="E56" s="388"/>
      <c r="F56" s="388"/>
      <c r="G56" s="388"/>
      <c r="H56" s="388"/>
      <c r="I56" s="389"/>
      <c r="J56" s="318">
        <f>ROUND((5*0.6794/220.2768),4)</f>
        <v>1.54E-2</v>
      </c>
      <c r="K56" s="8"/>
    </row>
    <row r="57" spans="1:12" ht="13.9" customHeight="1" x14ac:dyDescent="0.2">
      <c r="A57" s="42">
        <v>3</v>
      </c>
      <c r="B57" s="387" t="s">
        <v>78</v>
      </c>
      <c r="C57" s="388"/>
      <c r="D57" s="388"/>
      <c r="E57" s="388"/>
      <c r="F57" s="388"/>
      <c r="G57" s="388"/>
      <c r="H57" s="388"/>
      <c r="I57" s="389"/>
      <c r="J57" s="318">
        <f>ROUND((5*0.6794*35.411%*99.9511%*5.5714%)/220.2768,4)</f>
        <v>2.9999999999999997E-4</v>
      </c>
      <c r="K57" s="315"/>
    </row>
    <row r="58" spans="1:12" ht="13.9" customHeight="1" x14ac:dyDescent="0.2">
      <c r="A58" s="42">
        <v>4</v>
      </c>
      <c r="B58" s="387" t="s">
        <v>79</v>
      </c>
      <c r="C58" s="388"/>
      <c r="D58" s="388"/>
      <c r="E58" s="388"/>
      <c r="F58" s="388"/>
      <c r="G58" s="388"/>
      <c r="H58" s="388"/>
      <c r="I58" s="389"/>
      <c r="J58" s="319">
        <v>9.1000000000000004E-3</v>
      </c>
      <c r="K58" s="8"/>
    </row>
    <row r="59" spans="1:12" ht="13.9" customHeight="1" x14ac:dyDescent="0.2">
      <c r="A59" s="42">
        <v>5</v>
      </c>
      <c r="B59" s="387" t="s">
        <v>80</v>
      </c>
      <c r="C59" s="388"/>
      <c r="D59" s="388"/>
      <c r="E59" s="388"/>
      <c r="F59" s="388"/>
      <c r="G59" s="388"/>
      <c r="H59" s="388"/>
      <c r="I59" s="389"/>
      <c r="J59" s="318">
        <f>ROUND((15*0.6794*1.754%)/220.2768,4)</f>
        <v>8.0000000000000004E-4</v>
      </c>
      <c r="K59" s="316"/>
    </row>
    <row r="60" spans="1:12" ht="13.9" customHeight="1" x14ac:dyDescent="0.2">
      <c r="A60" s="42">
        <v>6</v>
      </c>
      <c r="B60" s="387" t="s">
        <v>56</v>
      </c>
      <c r="C60" s="388"/>
      <c r="D60" s="388"/>
      <c r="E60" s="388"/>
      <c r="F60" s="388"/>
      <c r="G60" s="388"/>
      <c r="H60" s="388"/>
      <c r="I60" s="389"/>
      <c r="J60" s="318">
        <f>ROUND(SUM(J55:J59)*$J$25,4)</f>
        <v>4.2299999999999997E-2</v>
      </c>
      <c r="K60" s="8"/>
    </row>
    <row r="61" spans="1:12" ht="15" customHeight="1" x14ac:dyDescent="0.2">
      <c r="A61" s="399" t="s">
        <v>81</v>
      </c>
      <c r="B61" s="400"/>
      <c r="C61" s="400"/>
      <c r="D61" s="400"/>
      <c r="E61" s="400"/>
      <c r="F61" s="400"/>
      <c r="G61" s="400"/>
      <c r="H61" s="400"/>
      <c r="I61" s="401"/>
      <c r="J61" s="43">
        <f>SUM(J55:J60)</f>
        <v>0.15719999999999998</v>
      </c>
      <c r="K61" s="8"/>
    </row>
    <row r="62" spans="1:12" ht="7.15" customHeight="1" x14ac:dyDescent="0.2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8"/>
    </row>
    <row r="63" spans="1:12" ht="15" customHeight="1" x14ac:dyDescent="0.2">
      <c r="A63" s="414" t="s">
        <v>82</v>
      </c>
      <c r="B63" s="414"/>
      <c r="C63" s="414"/>
      <c r="D63" s="414"/>
      <c r="E63" s="414"/>
      <c r="F63" s="414"/>
      <c r="G63" s="414"/>
      <c r="H63" s="414"/>
      <c r="I63" s="414"/>
      <c r="J63" s="49">
        <f>J61+J52+J46+J35+J31+J25</f>
        <v>0.77916554163675689</v>
      </c>
      <c r="K63" s="8"/>
    </row>
    <row r="64" spans="1:12" ht="7.15" customHeight="1" x14ac:dyDescent="0.2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8"/>
    </row>
    <row r="65" spans="1:14" ht="15" customHeight="1" x14ac:dyDescent="0.2">
      <c r="A65" s="415" t="s">
        <v>83</v>
      </c>
      <c r="B65" s="415"/>
      <c r="C65" s="415"/>
      <c r="D65" s="415"/>
      <c r="E65" s="415"/>
      <c r="F65" s="415"/>
      <c r="G65" s="415"/>
      <c r="H65" s="415"/>
      <c r="I65" s="415"/>
      <c r="J65" s="415"/>
      <c r="K65" s="8"/>
      <c r="L65" s="39"/>
      <c r="N65" s="9"/>
    </row>
    <row r="66" spans="1:14" ht="15" customHeight="1" x14ac:dyDescent="0.2">
      <c r="A66" s="42">
        <v>1</v>
      </c>
      <c r="B66" s="396" t="s">
        <v>73</v>
      </c>
      <c r="C66" s="397"/>
      <c r="D66" s="397"/>
      <c r="E66" s="397"/>
      <c r="F66" s="397"/>
      <c r="G66" s="397"/>
      <c r="H66" s="397"/>
      <c r="I66" s="398"/>
      <c r="J66" s="318">
        <f>J28</f>
        <v>8.9300000000000004E-2</v>
      </c>
      <c r="K66" s="50"/>
      <c r="L66" s="39"/>
      <c r="M66" s="9"/>
      <c r="N66" s="9"/>
    </row>
    <row r="67" spans="1:14" ht="15" customHeight="1" x14ac:dyDescent="0.2">
      <c r="A67" s="42">
        <v>2</v>
      </c>
      <c r="B67" s="396" t="s">
        <v>76</v>
      </c>
      <c r="C67" s="397"/>
      <c r="D67" s="397"/>
      <c r="E67" s="397"/>
      <c r="F67" s="397"/>
      <c r="G67" s="397"/>
      <c r="H67" s="397"/>
      <c r="I67" s="398"/>
      <c r="J67" s="318">
        <f>J55</f>
        <v>8.9300000000000004E-2</v>
      </c>
      <c r="K67" s="50"/>
      <c r="L67" s="39"/>
      <c r="M67" s="9"/>
      <c r="N67" s="9"/>
    </row>
    <row r="68" spans="1:14" ht="15" customHeight="1" x14ac:dyDescent="0.2">
      <c r="A68" s="42">
        <v>3</v>
      </c>
      <c r="B68" s="396" t="s">
        <v>84</v>
      </c>
      <c r="C68" s="397"/>
      <c r="D68" s="397"/>
      <c r="E68" s="397"/>
      <c r="F68" s="397"/>
      <c r="G68" s="397"/>
      <c r="H68" s="397"/>
      <c r="I68" s="398"/>
      <c r="J68" s="318">
        <f>J29</f>
        <v>2.98E-2</v>
      </c>
      <c r="K68" s="50"/>
      <c r="L68" s="39"/>
      <c r="M68" s="9"/>
      <c r="N68" s="9"/>
    </row>
    <row r="69" spans="1:14" ht="15" customHeight="1" x14ac:dyDescent="0.2">
      <c r="A69" s="42">
        <v>4</v>
      </c>
      <c r="B69" s="396" t="s">
        <v>85</v>
      </c>
      <c r="C69" s="397"/>
      <c r="D69" s="397"/>
      <c r="E69" s="397"/>
      <c r="F69" s="397"/>
      <c r="G69" s="397"/>
      <c r="H69" s="397"/>
      <c r="I69" s="51">
        <f>$J$25</f>
        <v>0.3680000000000001</v>
      </c>
      <c r="J69" s="318">
        <f>ROUND(I69*SUM(J66:J68),4)</f>
        <v>7.6700000000000004E-2</v>
      </c>
      <c r="K69" s="50"/>
      <c r="L69" s="39"/>
      <c r="M69" s="9"/>
      <c r="N69" s="9"/>
    </row>
    <row r="70" spans="1:14" ht="15" customHeight="1" x14ac:dyDescent="0.2">
      <c r="A70" s="42">
        <v>5</v>
      </c>
      <c r="B70" s="396" t="s">
        <v>86</v>
      </c>
      <c r="C70" s="397"/>
      <c r="D70" s="397"/>
      <c r="E70" s="397"/>
      <c r="F70" s="397"/>
      <c r="G70" s="397"/>
      <c r="H70" s="397"/>
      <c r="I70" s="398"/>
      <c r="J70" s="318">
        <f>J52</f>
        <v>3.4799999999999998E-2</v>
      </c>
      <c r="K70" s="8"/>
      <c r="L70" s="39"/>
      <c r="N70" s="9"/>
    </row>
    <row r="71" spans="1:14" ht="15" customHeight="1" x14ac:dyDescent="0.2">
      <c r="A71" s="414" t="s">
        <v>87</v>
      </c>
      <c r="B71" s="414"/>
      <c r="C71" s="414"/>
      <c r="D71" s="414"/>
      <c r="E71" s="414"/>
      <c r="F71" s="414"/>
      <c r="G71" s="414"/>
      <c r="H71" s="414"/>
      <c r="I71" s="414"/>
      <c r="J71" s="49">
        <f>ROUND(SUM(J66:J70),4)</f>
        <v>0.31990000000000002</v>
      </c>
      <c r="K71" s="8"/>
      <c r="L71" s="39"/>
      <c r="N71" s="9"/>
    </row>
    <row r="72" spans="1:14" ht="7.15" customHeight="1" x14ac:dyDescent="0.2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8"/>
    </row>
    <row r="73" spans="1:14" ht="15" customHeight="1" x14ac:dyDescent="0.2">
      <c r="A73" s="415" t="s">
        <v>88</v>
      </c>
      <c r="B73" s="415"/>
      <c r="C73" s="415"/>
      <c r="D73" s="415"/>
      <c r="E73" s="415"/>
      <c r="F73" s="415"/>
      <c r="G73" s="415"/>
      <c r="H73" s="415"/>
      <c r="I73" s="415"/>
      <c r="J73" s="415"/>
      <c r="M73" s="9"/>
      <c r="N73" s="9"/>
    </row>
    <row r="74" spans="1:14" ht="15" customHeight="1" x14ac:dyDescent="0.2">
      <c r="A74" s="42">
        <v>1</v>
      </c>
      <c r="B74" s="396" t="s">
        <v>89</v>
      </c>
      <c r="C74" s="397"/>
      <c r="D74" s="397"/>
      <c r="E74" s="397"/>
      <c r="F74" s="397"/>
      <c r="G74" s="397"/>
      <c r="H74" s="397"/>
      <c r="I74" s="398"/>
      <c r="J74" s="294">
        <v>21</v>
      </c>
      <c r="K74" s="50"/>
      <c r="L74" s="39"/>
      <c r="M74" s="9"/>
      <c r="N74" s="9"/>
    </row>
    <row r="75" spans="1:14" ht="15" customHeight="1" x14ac:dyDescent="0.2">
      <c r="A75" s="42">
        <v>2</v>
      </c>
      <c r="B75" s="396" t="s">
        <v>90</v>
      </c>
      <c r="C75" s="397"/>
      <c r="D75" s="397"/>
      <c r="E75" s="397"/>
      <c r="F75" s="397"/>
      <c r="G75" s="397"/>
      <c r="H75" s="397"/>
      <c r="I75" s="398"/>
      <c r="J75" s="294">
        <v>25.33</v>
      </c>
      <c r="K75" s="53"/>
      <c r="L75" s="39"/>
      <c r="M75" s="9"/>
      <c r="N75" s="9"/>
    </row>
    <row r="76" spans="1:14" ht="15" customHeight="1" x14ac:dyDescent="0.2">
      <c r="A76" s="42">
        <v>3</v>
      </c>
      <c r="B76" s="396" t="s">
        <v>91</v>
      </c>
      <c r="C76" s="397"/>
      <c r="D76" s="397"/>
      <c r="E76" s="397"/>
      <c r="F76" s="397"/>
      <c r="G76" s="397"/>
      <c r="H76" s="397"/>
      <c r="I76" s="398"/>
      <c r="J76" s="294">
        <v>6</v>
      </c>
      <c r="K76" s="50"/>
      <c r="L76" s="39"/>
      <c r="M76" s="9"/>
      <c r="N76" s="9"/>
    </row>
    <row r="77" spans="1:14" ht="15" customHeight="1" x14ac:dyDescent="0.2">
      <c r="A77" s="42">
        <v>4</v>
      </c>
      <c r="B77" s="396" t="s">
        <v>92</v>
      </c>
      <c r="C77" s="397"/>
      <c r="D77" s="397"/>
      <c r="E77" s="397"/>
      <c r="F77" s="397"/>
      <c r="G77" s="397"/>
      <c r="H77" s="397"/>
      <c r="I77" s="398"/>
      <c r="J77" s="294">
        <v>5</v>
      </c>
      <c r="K77" s="50"/>
      <c r="L77" s="39"/>
      <c r="M77" s="9"/>
      <c r="N77" s="9"/>
    </row>
    <row r="78" spans="1:14" ht="15" customHeight="1" x14ac:dyDescent="0.2">
      <c r="A78" s="42">
        <v>5</v>
      </c>
      <c r="B78" s="396" t="s">
        <v>93</v>
      </c>
      <c r="C78" s="397"/>
      <c r="D78" s="397"/>
      <c r="E78" s="397"/>
      <c r="F78" s="397"/>
      <c r="G78" s="397"/>
      <c r="H78" s="397"/>
      <c r="I78" s="398"/>
      <c r="J78" s="54">
        <v>0.3</v>
      </c>
      <c r="K78" s="50"/>
      <c r="L78" s="39"/>
      <c r="M78" s="9"/>
      <c r="N78" s="9"/>
    </row>
    <row r="79" spans="1:14" ht="15" customHeight="1" x14ac:dyDescent="0.2">
      <c r="A79" s="42">
        <v>6</v>
      </c>
      <c r="B79" s="396" t="s">
        <v>94</v>
      </c>
      <c r="C79" s="397"/>
      <c r="D79" s="397"/>
      <c r="E79" s="397"/>
      <c r="F79" s="397"/>
      <c r="G79" s="397"/>
      <c r="H79" s="397"/>
      <c r="I79" s="398"/>
      <c r="J79" s="147">
        <v>0.2</v>
      </c>
      <c r="K79" s="50"/>
      <c r="L79" s="39"/>
      <c r="M79" s="9"/>
      <c r="N79" s="9"/>
    </row>
    <row r="80" spans="1:14" ht="15" customHeight="1" x14ac:dyDescent="0.2">
      <c r="A80" s="42">
        <v>7</v>
      </c>
      <c r="B80" s="396" t="s">
        <v>95</v>
      </c>
      <c r="C80" s="397"/>
      <c r="D80" s="397"/>
      <c r="E80" s="397"/>
      <c r="F80" s="397"/>
      <c r="G80" s="397"/>
      <c r="H80" s="397"/>
      <c r="I80" s="398"/>
      <c r="J80" s="54">
        <v>0.2</v>
      </c>
      <c r="K80" s="50"/>
      <c r="L80" s="39"/>
      <c r="M80" s="9"/>
      <c r="N80" s="9"/>
    </row>
    <row r="81" spans="1:19" ht="15" customHeight="1" x14ac:dyDescent="0.2">
      <c r="A81" s="42">
        <v>8</v>
      </c>
      <c r="B81" s="396" t="s">
        <v>96</v>
      </c>
      <c r="C81" s="397"/>
      <c r="D81" s="397"/>
      <c r="E81" s="397"/>
      <c r="F81" s="397"/>
      <c r="G81" s="397"/>
      <c r="H81" s="397"/>
      <c r="I81" s="398"/>
      <c r="J81" s="54">
        <v>0.4</v>
      </c>
      <c r="K81" s="50"/>
      <c r="L81" s="39"/>
      <c r="M81" s="9"/>
      <c r="N81" s="9"/>
    </row>
    <row r="82" spans="1:19" ht="15" customHeight="1" x14ac:dyDescent="0.2">
      <c r="A82" s="42">
        <v>9</v>
      </c>
      <c r="B82" s="396" t="s">
        <v>97</v>
      </c>
      <c r="C82" s="397"/>
      <c r="D82" s="397"/>
      <c r="E82" s="397"/>
      <c r="F82" s="397"/>
      <c r="G82" s="397"/>
      <c r="H82" s="397"/>
      <c r="I82" s="398"/>
      <c r="J82" s="54">
        <v>0.2</v>
      </c>
      <c r="K82" s="50"/>
      <c r="L82" s="39"/>
      <c r="M82" s="9"/>
      <c r="N82" s="9"/>
    </row>
    <row r="83" spans="1:19" ht="15" customHeight="1" x14ac:dyDescent="0.2">
      <c r="A83" s="42">
        <v>10</v>
      </c>
      <c r="B83" s="396" t="s">
        <v>98</v>
      </c>
      <c r="C83" s="397"/>
      <c r="D83" s="397"/>
      <c r="E83" s="397"/>
      <c r="F83" s="397"/>
      <c r="G83" s="397"/>
      <c r="H83" s="397"/>
      <c r="I83" s="398"/>
      <c r="J83" s="294">
        <v>1518</v>
      </c>
      <c r="K83" s="276"/>
      <c r="L83" s="278"/>
      <c r="M83" s="9"/>
      <c r="N83" s="9"/>
    </row>
    <row r="84" spans="1:19" ht="15" hidden="1" customHeight="1" x14ac:dyDescent="0.2">
      <c r="A84" s="42">
        <v>12</v>
      </c>
      <c r="B84" s="396"/>
      <c r="C84" s="397"/>
      <c r="D84" s="397"/>
      <c r="E84" s="397"/>
      <c r="F84" s="397"/>
      <c r="G84" s="397"/>
      <c r="H84" s="397"/>
      <c r="I84" s="398"/>
      <c r="J84" s="52"/>
      <c r="K84" s="50"/>
      <c r="L84" s="39"/>
      <c r="M84" s="9"/>
      <c r="N84" s="9"/>
    </row>
    <row r="85" spans="1:19" ht="15" hidden="1" customHeight="1" x14ac:dyDescent="0.2">
      <c r="A85" s="42">
        <v>13</v>
      </c>
      <c r="B85" s="396"/>
      <c r="C85" s="397"/>
      <c r="D85" s="397"/>
      <c r="E85" s="397"/>
      <c r="F85" s="397"/>
      <c r="G85" s="397"/>
      <c r="H85" s="397"/>
      <c r="I85" s="398"/>
      <c r="J85" s="52"/>
      <c r="K85" s="50"/>
      <c r="L85" s="39"/>
      <c r="M85" s="9"/>
      <c r="N85" s="9"/>
    </row>
    <row r="86" spans="1:19" ht="15" hidden="1" customHeight="1" x14ac:dyDescent="0.2">
      <c r="A86" s="42">
        <v>14</v>
      </c>
      <c r="B86" s="396"/>
      <c r="C86" s="397"/>
      <c r="D86" s="397"/>
      <c r="E86" s="397"/>
      <c r="F86" s="397"/>
      <c r="G86" s="397"/>
      <c r="H86" s="397"/>
      <c r="I86" s="398"/>
      <c r="J86" s="52"/>
      <c r="K86" s="50"/>
      <c r="L86" s="39"/>
      <c r="M86" s="9"/>
      <c r="N86" s="9"/>
    </row>
    <row r="87" spans="1:19" ht="15" hidden="1" customHeight="1" x14ac:dyDescent="0.2">
      <c r="A87" s="42">
        <v>15</v>
      </c>
      <c r="B87" s="396"/>
      <c r="C87" s="397"/>
      <c r="D87" s="397"/>
      <c r="E87" s="397"/>
      <c r="F87" s="397"/>
      <c r="G87" s="397"/>
      <c r="H87" s="397"/>
      <c r="I87" s="398"/>
      <c r="J87" s="52"/>
      <c r="K87" s="50"/>
      <c r="L87" s="39"/>
      <c r="M87" s="9"/>
      <c r="N87" s="9"/>
    </row>
    <row r="88" spans="1:19" ht="7.15" customHeight="1" x14ac:dyDescent="0.2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8"/>
    </row>
    <row r="89" spans="1:19" ht="14.45" customHeight="1" x14ac:dyDescent="0.2">
      <c r="A89" s="192" t="s">
        <v>99</v>
      </c>
      <c r="B89" s="367" t="s">
        <v>100</v>
      </c>
      <c r="C89" s="368"/>
      <c r="D89" s="368"/>
      <c r="E89" s="368"/>
      <c r="F89" s="368"/>
      <c r="G89" s="368"/>
      <c r="H89" s="368"/>
      <c r="I89" s="368"/>
      <c r="J89" s="369"/>
      <c r="K89" s="8"/>
    </row>
    <row r="90" spans="1:19" ht="12" x14ac:dyDescent="0.2">
      <c r="A90" s="65">
        <v>690020</v>
      </c>
      <c r="B90" s="396" t="s">
        <v>101</v>
      </c>
      <c r="C90" s="397"/>
      <c r="D90" s="397"/>
      <c r="E90" s="397"/>
      <c r="F90" s="397"/>
      <c r="G90" s="397"/>
      <c r="H90" s="397"/>
      <c r="I90" s="398"/>
      <c r="J90" s="70">
        <v>0.84</v>
      </c>
      <c r="K90" s="296"/>
      <c r="L90" s="63"/>
      <c r="N90" s="269"/>
    </row>
    <row r="91" spans="1:19" ht="12" x14ac:dyDescent="0.2">
      <c r="A91" s="65">
        <v>690021</v>
      </c>
      <c r="B91" s="396" t="s">
        <v>102</v>
      </c>
      <c r="C91" s="397"/>
      <c r="D91" s="397"/>
      <c r="E91" s="397"/>
      <c r="F91" s="397"/>
      <c r="G91" s="397"/>
      <c r="H91" s="397"/>
      <c r="I91" s="398"/>
      <c r="J91" s="70">
        <v>2.2200000000000002</v>
      </c>
      <c r="K91" s="38"/>
      <c r="L91" s="63"/>
      <c r="M91" s="250"/>
      <c r="N91" s="46"/>
      <c r="P91" s="268"/>
    </row>
    <row r="92" spans="1:19" ht="12" x14ac:dyDescent="0.2">
      <c r="A92" s="65">
        <v>690029</v>
      </c>
      <c r="B92" s="396" t="s">
        <v>103</v>
      </c>
      <c r="C92" s="397"/>
      <c r="D92" s="397"/>
      <c r="E92" s="397"/>
      <c r="F92" s="397"/>
      <c r="G92" s="397"/>
      <c r="H92" s="397"/>
      <c r="I92" s="398"/>
      <c r="J92" s="70">
        <v>1.74</v>
      </c>
      <c r="K92" s="38"/>
      <c r="L92" s="63"/>
      <c r="M92" s="250"/>
      <c r="N92" s="46"/>
      <c r="P92" s="268"/>
    </row>
    <row r="93" spans="1:19" ht="7.15" customHeight="1" x14ac:dyDescent="0.2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8"/>
    </row>
    <row r="94" spans="1:19" ht="15" customHeight="1" x14ac:dyDescent="0.2">
      <c r="A94" s="415" t="s">
        <v>104</v>
      </c>
      <c r="B94" s="415"/>
      <c r="C94" s="415"/>
      <c r="D94" s="415"/>
      <c r="E94" s="415"/>
      <c r="F94" s="415"/>
      <c r="G94" s="415"/>
      <c r="H94" s="415"/>
      <c r="I94" s="415"/>
      <c r="J94" s="415"/>
      <c r="M94" s="9"/>
      <c r="N94" s="9"/>
    </row>
    <row r="95" spans="1:19" s="69" customFormat="1" ht="26.25" customHeight="1" x14ac:dyDescent="0.2">
      <c r="A95" s="251" t="s">
        <v>105</v>
      </c>
      <c r="B95" s="423" t="s">
        <v>106</v>
      </c>
      <c r="C95" s="423"/>
      <c r="D95" s="423"/>
      <c r="E95" s="423"/>
      <c r="F95" s="67" t="s">
        <v>107</v>
      </c>
      <c r="G95" s="67" t="s">
        <v>108</v>
      </c>
      <c r="H95" s="67" t="s">
        <v>109</v>
      </c>
      <c r="I95" s="67" t="s">
        <v>110</v>
      </c>
      <c r="J95" s="67" t="s">
        <v>111</v>
      </c>
      <c r="K95" s="68"/>
    </row>
    <row r="96" spans="1:19" ht="15" customHeight="1" x14ac:dyDescent="0.2">
      <c r="A96" s="42">
        <v>1</v>
      </c>
      <c r="B96" s="396" t="s">
        <v>112</v>
      </c>
      <c r="C96" s="397"/>
      <c r="D96" s="397"/>
      <c r="E96" s="398"/>
      <c r="F96" s="70">
        <v>1717.2</v>
      </c>
      <c r="G96" s="181">
        <v>0</v>
      </c>
      <c r="H96" s="181">
        <f>ROUND((6*$J$74)*(F96/220)*'Indicadores Financeiros'!$J$79,2)+ROUND((6*$J$74)*(F96/220)*((60/52.5)-1)*(1+'Indicadores Financeiros'!$J$79),2)</f>
        <v>365.29999999999995</v>
      </c>
      <c r="I96" s="181">
        <v>0</v>
      </c>
      <c r="J96" s="181">
        <f>ROUND($F96*$J$82,2)</f>
        <v>343.44</v>
      </c>
      <c r="K96" s="270"/>
      <c r="L96" s="271"/>
      <c r="M96" s="250"/>
      <c r="N96" s="9"/>
      <c r="P96" s="63"/>
      <c r="R96" s="63"/>
      <c r="S96" s="63"/>
    </row>
    <row r="97" spans="1:19" ht="15" customHeight="1" x14ac:dyDescent="0.2">
      <c r="A97" s="42">
        <v>2</v>
      </c>
      <c r="B97" s="396" t="s">
        <v>113</v>
      </c>
      <c r="C97" s="397"/>
      <c r="D97" s="397"/>
      <c r="E97" s="398"/>
      <c r="F97" s="70">
        <f>ROUND(60%*F96,2)</f>
        <v>1030.32</v>
      </c>
      <c r="G97" s="181">
        <v>0</v>
      </c>
      <c r="H97" s="181">
        <v>0</v>
      </c>
      <c r="I97" s="181">
        <v>0</v>
      </c>
      <c r="J97" s="181">
        <f>ROUND($F97*$J$82,2)</f>
        <v>206.06</v>
      </c>
      <c r="K97" s="270"/>
      <c r="L97" s="39"/>
      <c r="N97" s="9"/>
    </row>
    <row r="98" spans="1:19" ht="15" customHeight="1" x14ac:dyDescent="0.2">
      <c r="A98" s="42">
        <v>3</v>
      </c>
      <c r="B98" s="396" t="s">
        <v>114</v>
      </c>
      <c r="C98" s="397"/>
      <c r="D98" s="397"/>
      <c r="E98" s="398"/>
      <c r="F98" s="70">
        <v>1717.2</v>
      </c>
      <c r="G98" s="181">
        <v>0</v>
      </c>
      <c r="H98" s="181">
        <v>0</v>
      </c>
      <c r="I98" s="181">
        <f>IF(F98=0,0,ROUND($J$83*$J$80,2))</f>
        <v>303.60000000000002</v>
      </c>
      <c r="J98" s="181">
        <v>0</v>
      </c>
      <c r="K98" s="270"/>
      <c r="L98" s="39"/>
      <c r="N98" s="9"/>
    </row>
    <row r="99" spans="1:19" ht="15" customHeight="1" x14ac:dyDescent="0.2">
      <c r="A99" s="42">
        <v>4</v>
      </c>
      <c r="B99" s="396" t="s">
        <v>115</v>
      </c>
      <c r="C99" s="397"/>
      <c r="D99" s="397"/>
      <c r="E99" s="398"/>
      <c r="F99" s="70">
        <v>1717.2</v>
      </c>
      <c r="G99" s="181">
        <v>0</v>
      </c>
      <c r="H99" s="181">
        <f>ROUND((6*$J$74)*((F99+I99)/220)*'Indicadores Financeiros'!$J$79,2)+ROUND((6*$J$74)*((F99+I99)/220)*((60/52.5)-1)*(1+'Indicadores Financeiros'!$J$79),2)</f>
        <v>494.46000000000004</v>
      </c>
      <c r="I99" s="181">
        <f>IF(F99=0,0,ROUND($J$83*$J$81,2))</f>
        <v>607.20000000000005</v>
      </c>
      <c r="J99" s="249">
        <v>0</v>
      </c>
      <c r="K99" s="270"/>
      <c r="L99" s="250"/>
      <c r="M99" s="250"/>
      <c r="N99" s="9"/>
      <c r="P99" s="63"/>
      <c r="R99" s="63"/>
      <c r="S99" s="63"/>
    </row>
    <row r="100" spans="1:19" ht="15" customHeight="1" x14ac:dyDescent="0.2">
      <c r="A100" s="42">
        <v>5</v>
      </c>
      <c r="B100" s="396" t="s">
        <v>116</v>
      </c>
      <c r="C100" s="397"/>
      <c r="D100" s="397"/>
      <c r="E100" s="398"/>
      <c r="F100" s="70">
        <f>ROUND(60%*F99,2)</f>
        <v>1030.32</v>
      </c>
      <c r="G100" s="181">
        <v>0</v>
      </c>
      <c r="H100" s="181">
        <v>0</v>
      </c>
      <c r="I100" s="181">
        <f>IF(F100=0,0,ROUND($J$83*$J$81,2))</f>
        <v>607.20000000000005</v>
      </c>
      <c r="J100" s="181">
        <v>0</v>
      </c>
      <c r="K100" s="270"/>
      <c r="L100" s="250"/>
      <c r="N100" s="9"/>
    </row>
    <row r="101" spans="1:19" ht="15" customHeight="1" x14ac:dyDescent="0.2">
      <c r="A101" s="42">
        <v>6</v>
      </c>
      <c r="B101" s="396" t="s">
        <v>117</v>
      </c>
      <c r="C101" s="397"/>
      <c r="D101" s="397"/>
      <c r="E101" s="398"/>
      <c r="F101" s="70">
        <v>1872.8</v>
      </c>
      <c r="G101" s="181">
        <v>0</v>
      </c>
      <c r="H101" s="181">
        <f>ROUND((6*$J$74)*(F101/220)*'Indicadores Financeiros'!$J$79,2)+ROUND((6*$J$74)*(F101/220)*((60/52.5)-1)*(1+'Indicadores Financeiros'!$J$79),2)</f>
        <v>398.39</v>
      </c>
      <c r="I101" s="181">
        <v>0</v>
      </c>
      <c r="J101" s="181">
        <v>0</v>
      </c>
      <c r="K101" s="270"/>
      <c r="L101" s="250"/>
      <c r="M101" s="250"/>
      <c r="N101" s="9"/>
      <c r="P101" s="63"/>
      <c r="R101" s="63"/>
      <c r="S101" s="63"/>
    </row>
    <row r="102" spans="1:19" ht="15" customHeight="1" x14ac:dyDescent="0.2">
      <c r="A102" s="42">
        <v>7</v>
      </c>
      <c r="B102" s="396" t="s">
        <v>118</v>
      </c>
      <c r="C102" s="397"/>
      <c r="D102" s="397"/>
      <c r="E102" s="398"/>
      <c r="F102" s="70">
        <v>2247.37</v>
      </c>
      <c r="G102" s="181">
        <v>0</v>
      </c>
      <c r="H102" s="181">
        <f>ROUND((6*$J$74)*(F102/220)*'Indicadores Financeiros'!$J$79,2)+ROUND((6*$J$74)*(F102/220)*((60/52.5)-1)*(1+'Indicadores Financeiros'!$J$79),2)</f>
        <v>478.08000000000004</v>
      </c>
      <c r="I102" s="181">
        <v>0</v>
      </c>
      <c r="J102" s="181">
        <v>0</v>
      </c>
      <c r="K102" s="270"/>
      <c r="L102" s="250"/>
      <c r="M102" s="250"/>
      <c r="N102" s="9"/>
      <c r="P102" s="63"/>
      <c r="R102" s="63"/>
      <c r="S102" s="63"/>
    </row>
    <row r="103" spans="1:19" ht="15" customHeight="1" x14ac:dyDescent="0.2">
      <c r="A103" s="42">
        <v>8</v>
      </c>
      <c r="B103" s="387" t="s">
        <v>119</v>
      </c>
      <c r="C103" s="388"/>
      <c r="D103" s="388"/>
      <c r="E103" s="389"/>
      <c r="F103" s="293">
        <v>2444.29</v>
      </c>
      <c r="G103" s="181">
        <v>0</v>
      </c>
      <c r="H103" s="249">
        <v>0</v>
      </c>
      <c r="I103" s="181">
        <v>0</v>
      </c>
      <c r="J103" s="181">
        <v>0</v>
      </c>
      <c r="K103" s="270"/>
      <c r="L103" s="39"/>
      <c r="N103" s="9"/>
    </row>
    <row r="104" spans="1:19" ht="15" customHeight="1" x14ac:dyDescent="0.2">
      <c r="A104" s="65">
        <v>9</v>
      </c>
      <c r="B104" s="396" t="s">
        <v>120</v>
      </c>
      <c r="C104" s="397"/>
      <c r="D104" s="397"/>
      <c r="E104" s="398"/>
      <c r="F104" s="70">
        <v>1882.34</v>
      </c>
      <c r="G104" s="181">
        <f>ROUND(F104*$J$78,2)</f>
        <v>564.70000000000005</v>
      </c>
      <c r="H104" s="181">
        <f>ROUND((6*$J$74)*((F104+G104)/220)*'Indicadores Financeiros'!$J$79,2)+ROUND((6*$J$74)*((F104+G104)/220)*(60/52.5-1)*(1+'Indicadores Financeiros'!$J$79),2)</f>
        <v>520.54999999999995</v>
      </c>
      <c r="I104" s="181">
        <v>0</v>
      </c>
      <c r="J104" s="181">
        <v>0</v>
      </c>
      <c r="K104" s="270"/>
      <c r="L104" s="250"/>
      <c r="M104" s="250"/>
      <c r="N104" s="9"/>
      <c r="P104" s="63"/>
      <c r="R104" s="63"/>
      <c r="S104" s="63"/>
    </row>
    <row r="105" spans="1:19" ht="15" customHeight="1" x14ac:dyDescent="0.2">
      <c r="A105" s="65">
        <v>10</v>
      </c>
      <c r="B105" s="396" t="s">
        <v>121</v>
      </c>
      <c r="C105" s="397"/>
      <c r="D105" s="397"/>
      <c r="E105" s="398"/>
      <c r="F105" s="70">
        <f>ROUND(60%*F104,2)</f>
        <v>1129.4000000000001</v>
      </c>
      <c r="G105" s="181">
        <f>ROUND(F105*$J$78,2)</f>
        <v>338.82</v>
      </c>
      <c r="H105" s="181">
        <v>0</v>
      </c>
      <c r="I105" s="181">
        <v>0</v>
      </c>
      <c r="J105" s="181">
        <v>0</v>
      </c>
      <c r="K105" s="270"/>
      <c r="L105" s="39"/>
      <c r="M105" s="9"/>
      <c r="N105" s="9"/>
    </row>
    <row r="106" spans="1:19" ht="15" customHeight="1" x14ac:dyDescent="0.2">
      <c r="A106" s="65">
        <v>11</v>
      </c>
      <c r="B106" s="387" t="s">
        <v>122</v>
      </c>
      <c r="C106" s="388"/>
      <c r="D106" s="388"/>
      <c r="E106" s="389"/>
      <c r="F106" s="70">
        <v>1732.39</v>
      </c>
      <c r="G106" s="181">
        <v>0</v>
      </c>
      <c r="H106" s="181">
        <v>0</v>
      </c>
      <c r="I106" s="181">
        <f>ROUND($F106*$J$80,2)</f>
        <v>346.48</v>
      </c>
      <c r="J106" s="181">
        <v>0</v>
      </c>
      <c r="K106" s="270"/>
      <c r="L106" s="250"/>
      <c r="M106" s="9"/>
      <c r="N106" s="9"/>
    </row>
    <row r="107" spans="1:19" ht="15" customHeight="1" x14ac:dyDescent="0.2">
      <c r="A107" s="65">
        <v>12</v>
      </c>
      <c r="B107" s="387" t="s">
        <v>123</v>
      </c>
      <c r="C107" s="388"/>
      <c r="D107" s="388"/>
      <c r="E107" s="389"/>
      <c r="F107" s="70">
        <f>ROUND(60%*F106,2)</f>
        <v>1039.43</v>
      </c>
      <c r="G107" s="181">
        <v>0</v>
      </c>
      <c r="H107" s="181">
        <v>0</v>
      </c>
      <c r="I107" s="181">
        <f>ROUND($F106*$J$80,2)</f>
        <v>346.48</v>
      </c>
      <c r="J107" s="181">
        <v>0</v>
      </c>
      <c r="K107" s="270"/>
      <c r="L107" s="45"/>
      <c r="M107" s="9"/>
      <c r="N107" s="9"/>
    </row>
    <row r="108" spans="1:19" ht="15" customHeight="1" x14ac:dyDescent="0.2">
      <c r="A108" s="65">
        <v>13</v>
      </c>
      <c r="B108" s="396" t="s">
        <v>124</v>
      </c>
      <c r="C108" s="397"/>
      <c r="D108" s="397"/>
      <c r="E108" s="398"/>
      <c r="F108" s="70">
        <v>1729.04</v>
      </c>
      <c r="G108" s="181">
        <v>0</v>
      </c>
      <c r="H108" s="181">
        <v>0</v>
      </c>
      <c r="I108" s="181">
        <v>0</v>
      </c>
      <c r="J108" s="181">
        <v>0</v>
      </c>
      <c r="K108" s="270"/>
      <c r="L108" s="39"/>
      <c r="M108" s="9"/>
      <c r="N108" s="9"/>
    </row>
    <row r="109" spans="1:19" ht="15" customHeight="1" x14ac:dyDescent="0.2">
      <c r="A109" s="65">
        <v>14</v>
      </c>
      <c r="B109" s="396" t="s">
        <v>125</v>
      </c>
      <c r="C109" s="397"/>
      <c r="D109" s="397"/>
      <c r="E109" s="398"/>
      <c r="F109" s="70">
        <f>ROUND(60%*F108,2)</f>
        <v>1037.42</v>
      </c>
      <c r="G109" s="181">
        <v>0</v>
      </c>
      <c r="H109" s="181">
        <v>0</v>
      </c>
      <c r="I109" s="181">
        <v>0</v>
      </c>
      <c r="J109" s="181">
        <v>0</v>
      </c>
      <c r="K109" s="270"/>
      <c r="L109" s="39"/>
      <c r="M109" s="9"/>
      <c r="N109" s="9"/>
    </row>
    <row r="110" spans="1:19" ht="6.75" customHeight="1" x14ac:dyDescent="0.2">
      <c r="A110" s="9"/>
      <c r="B110" s="19"/>
      <c r="C110" s="19"/>
      <c r="D110" s="19"/>
      <c r="E110" s="19"/>
      <c r="F110" s="19"/>
      <c r="G110" s="19"/>
      <c r="H110" s="19"/>
      <c r="I110" s="19"/>
      <c r="J110" s="19"/>
      <c r="K110" s="50"/>
      <c r="L110" s="39"/>
      <c r="M110" s="9"/>
      <c r="N110" s="9"/>
    </row>
    <row r="111" spans="1:19" ht="15" customHeight="1" x14ac:dyDescent="0.2">
      <c r="A111" s="416" t="s">
        <v>126</v>
      </c>
      <c r="B111" s="416"/>
      <c r="C111" s="416"/>
      <c r="D111" s="416"/>
      <c r="E111" s="416"/>
      <c r="F111" s="416"/>
      <c r="G111" s="416"/>
      <c r="H111" s="416"/>
      <c r="I111" s="416"/>
      <c r="J111" s="416"/>
      <c r="K111" s="8"/>
      <c r="M111" s="9"/>
      <c r="N111" s="9"/>
    </row>
    <row r="112" spans="1:19" ht="15" customHeight="1" x14ac:dyDescent="0.2">
      <c r="A112" s="416"/>
      <c r="B112" s="416"/>
      <c r="C112" s="416"/>
      <c r="D112" s="416" t="s">
        <v>127</v>
      </c>
      <c r="E112" s="417" t="s">
        <v>128</v>
      </c>
      <c r="F112" s="418"/>
      <c r="G112" s="419"/>
      <c r="H112" s="420" t="s">
        <v>129</v>
      </c>
      <c r="I112" s="421"/>
      <c r="J112" s="422"/>
      <c r="K112" s="8"/>
      <c r="M112" s="9"/>
      <c r="N112" s="9"/>
    </row>
    <row r="113" spans="1:18" s="69" customFormat="1" ht="24" x14ac:dyDescent="0.2">
      <c r="A113" s="416"/>
      <c r="B113" s="416"/>
      <c r="C113" s="416"/>
      <c r="D113" s="416"/>
      <c r="E113" s="67" t="s">
        <v>130</v>
      </c>
      <c r="F113" s="67" t="s">
        <v>131</v>
      </c>
      <c r="G113" s="67" t="s">
        <v>132</v>
      </c>
      <c r="H113" s="67" t="s">
        <v>130</v>
      </c>
      <c r="I113" s="67" t="s">
        <v>131</v>
      </c>
      <c r="J113" s="67" t="s">
        <v>132</v>
      </c>
      <c r="K113" s="68"/>
    </row>
    <row r="114" spans="1:18" ht="13.9" customHeight="1" x14ac:dyDescent="0.2">
      <c r="A114" s="42">
        <v>1</v>
      </c>
      <c r="B114" s="396" t="s">
        <v>133</v>
      </c>
      <c r="C114" s="398"/>
      <c r="D114" s="57" t="s">
        <v>134</v>
      </c>
      <c r="E114" s="70">
        <v>35.33</v>
      </c>
      <c r="F114" s="70"/>
      <c r="G114" s="52">
        <f t="shared" ref="G114:G122" si="0">ROUND(E114-F114,2)</f>
        <v>35.33</v>
      </c>
      <c r="H114" s="70">
        <v>34.94</v>
      </c>
      <c r="I114" s="70"/>
      <c r="J114" s="52">
        <f t="shared" ref="J114:J122" si="1">ROUND(H114-I114,2)</f>
        <v>34.94</v>
      </c>
      <c r="K114" s="8"/>
      <c r="M114" s="9"/>
      <c r="N114" s="9"/>
    </row>
    <row r="115" spans="1:18" ht="13.9" customHeight="1" x14ac:dyDescent="0.2">
      <c r="A115" s="42">
        <v>2</v>
      </c>
      <c r="B115" s="396" t="s">
        <v>135</v>
      </c>
      <c r="C115" s="398"/>
      <c r="D115" s="57" t="s">
        <v>134</v>
      </c>
      <c r="E115" s="70">
        <v>23.29</v>
      </c>
      <c r="F115" s="52"/>
      <c r="G115" s="52">
        <f t="shared" si="0"/>
        <v>23.29</v>
      </c>
      <c r="H115" s="70">
        <v>2.2000000000000002</v>
      </c>
      <c r="I115" s="52"/>
      <c r="J115" s="52">
        <f t="shared" si="1"/>
        <v>2.2000000000000002</v>
      </c>
      <c r="K115" s="8"/>
      <c r="M115" s="9"/>
      <c r="N115" s="9"/>
    </row>
    <row r="116" spans="1:18" ht="13.9" customHeight="1" x14ac:dyDescent="0.2">
      <c r="A116" s="42">
        <v>3</v>
      </c>
      <c r="B116" s="396" t="s">
        <v>136</v>
      </c>
      <c r="C116" s="398"/>
      <c r="D116" s="57" t="s">
        <v>134</v>
      </c>
      <c r="E116" s="70">
        <v>15.96</v>
      </c>
      <c r="F116" s="52"/>
      <c r="G116" s="52">
        <f t="shared" si="0"/>
        <v>15.96</v>
      </c>
      <c r="H116" s="70">
        <v>9.31</v>
      </c>
      <c r="I116" s="52"/>
      <c r="J116" s="52">
        <f t="shared" si="1"/>
        <v>9.31</v>
      </c>
      <c r="K116" s="8"/>
      <c r="M116" s="9"/>
      <c r="N116" s="9"/>
    </row>
    <row r="117" spans="1:18" ht="13.9" customHeight="1" x14ac:dyDescent="0.2">
      <c r="A117" s="42">
        <v>4</v>
      </c>
      <c r="B117" s="396" t="s">
        <v>268</v>
      </c>
      <c r="C117" s="398"/>
      <c r="D117" s="57" t="s">
        <v>134</v>
      </c>
      <c r="E117" s="70"/>
      <c r="F117" s="52"/>
      <c r="G117" s="52">
        <f t="shared" si="0"/>
        <v>0</v>
      </c>
      <c r="H117" s="70"/>
      <c r="I117" s="52"/>
      <c r="J117" s="52">
        <f t="shared" si="1"/>
        <v>0</v>
      </c>
      <c r="K117" s="8"/>
      <c r="M117" s="9"/>
      <c r="N117" s="9"/>
    </row>
    <row r="118" spans="1:18" ht="13.9" customHeight="1" x14ac:dyDescent="0.2">
      <c r="A118" s="42">
        <v>5</v>
      </c>
      <c r="B118" s="396" t="s">
        <v>137</v>
      </c>
      <c r="C118" s="398"/>
      <c r="D118" s="57" t="s">
        <v>134</v>
      </c>
      <c r="E118" s="70">
        <v>144.68</v>
      </c>
      <c r="F118" s="70"/>
      <c r="G118" s="52">
        <f t="shared" si="0"/>
        <v>144.68</v>
      </c>
      <c r="H118" s="70">
        <v>138.6</v>
      </c>
      <c r="I118" s="70"/>
      <c r="J118" s="52">
        <f t="shared" si="1"/>
        <v>138.6</v>
      </c>
      <c r="K118" s="8"/>
      <c r="M118" s="9"/>
      <c r="N118" s="9"/>
    </row>
    <row r="119" spans="1:18" ht="13.9" customHeight="1" x14ac:dyDescent="0.2">
      <c r="A119" s="42">
        <v>6</v>
      </c>
      <c r="B119" s="387" t="s">
        <v>138</v>
      </c>
      <c r="C119" s="389"/>
      <c r="D119" s="57" t="s">
        <v>134</v>
      </c>
      <c r="E119" s="70">
        <v>1.73</v>
      </c>
      <c r="F119" s="52"/>
      <c r="G119" s="52">
        <f t="shared" si="0"/>
        <v>1.73</v>
      </c>
      <c r="H119" s="70">
        <v>2.82</v>
      </c>
      <c r="I119" s="52"/>
      <c r="J119" s="52">
        <f t="shared" si="1"/>
        <v>2.82</v>
      </c>
      <c r="K119" s="8"/>
      <c r="M119" s="9"/>
      <c r="N119" s="9"/>
    </row>
    <row r="120" spans="1:18" ht="13.9" customHeight="1" x14ac:dyDescent="0.2">
      <c r="A120" s="42">
        <v>7</v>
      </c>
      <c r="B120" s="396" t="s">
        <v>139</v>
      </c>
      <c r="C120" s="398"/>
      <c r="D120" s="57" t="s">
        <v>134</v>
      </c>
      <c r="E120" s="70">
        <v>7.6</v>
      </c>
      <c r="F120" s="52"/>
      <c r="G120" s="52">
        <f t="shared" si="0"/>
        <v>7.6</v>
      </c>
      <c r="H120" s="70">
        <v>8.76</v>
      </c>
      <c r="I120" s="52"/>
      <c r="J120" s="52">
        <f t="shared" si="1"/>
        <v>8.76</v>
      </c>
      <c r="K120" s="8"/>
      <c r="M120" s="9"/>
      <c r="N120" s="9"/>
    </row>
    <row r="121" spans="1:18" ht="13.9" customHeight="1" x14ac:dyDescent="0.2">
      <c r="A121" s="42">
        <v>8</v>
      </c>
      <c r="B121" s="396" t="s">
        <v>140</v>
      </c>
      <c r="C121" s="398"/>
      <c r="D121" s="57" t="s">
        <v>134</v>
      </c>
      <c r="E121" s="70"/>
      <c r="F121" s="52"/>
      <c r="G121" s="52">
        <f t="shared" si="0"/>
        <v>0</v>
      </c>
      <c r="H121" s="70"/>
      <c r="I121" s="52"/>
      <c r="J121" s="52">
        <f t="shared" si="1"/>
        <v>0</v>
      </c>
      <c r="K121" s="8"/>
      <c r="L121" s="63"/>
      <c r="M121" s="9"/>
      <c r="N121" s="9"/>
    </row>
    <row r="122" spans="1:18" ht="13.9" customHeight="1" x14ac:dyDescent="0.2">
      <c r="A122" s="42">
        <v>9</v>
      </c>
      <c r="B122" s="396" t="s">
        <v>141</v>
      </c>
      <c r="C122" s="398"/>
      <c r="D122" s="57" t="s">
        <v>142</v>
      </c>
      <c r="E122" s="70">
        <v>20.76</v>
      </c>
      <c r="F122" s="70">
        <v>1.39</v>
      </c>
      <c r="G122" s="52">
        <f t="shared" si="0"/>
        <v>19.37</v>
      </c>
      <c r="H122" s="70">
        <v>12.5</v>
      </c>
      <c r="I122" s="70">
        <v>1.4</v>
      </c>
      <c r="J122" s="52">
        <f t="shared" si="1"/>
        <v>11.1</v>
      </c>
      <c r="K122" s="295"/>
      <c r="L122" s="38"/>
      <c r="M122" s="9"/>
      <c r="N122" s="9"/>
    </row>
    <row r="123" spans="1:18" ht="22.5" customHeight="1" x14ac:dyDescent="0.2">
      <c r="A123" s="42">
        <v>10</v>
      </c>
      <c r="B123" s="424" t="s">
        <v>143</v>
      </c>
      <c r="C123" s="425"/>
      <c r="D123" s="57" t="s">
        <v>142</v>
      </c>
      <c r="E123" s="70"/>
      <c r="F123" s="52"/>
      <c r="G123" s="52">
        <f t="shared" ref="G123:G124" si="2">ROUND(E123-F123,2)</f>
        <v>0</v>
      </c>
      <c r="H123" s="70"/>
      <c r="I123" s="52"/>
      <c r="J123" s="52">
        <f t="shared" ref="J123:J124" si="3">ROUND(H123-I123,2)</f>
        <v>0</v>
      </c>
      <c r="K123" s="38"/>
      <c r="L123" s="63"/>
      <c r="M123" s="9"/>
      <c r="N123" s="9"/>
    </row>
    <row r="124" spans="1:18" ht="25.5" customHeight="1" x14ac:dyDescent="0.2">
      <c r="A124" s="42">
        <v>11</v>
      </c>
      <c r="B124" s="424" t="s">
        <v>144</v>
      </c>
      <c r="C124" s="425"/>
      <c r="D124" s="57" t="s">
        <v>134</v>
      </c>
      <c r="E124" s="70"/>
      <c r="F124" s="52"/>
      <c r="G124" s="52">
        <f t="shared" si="2"/>
        <v>0</v>
      </c>
      <c r="H124" s="70"/>
      <c r="I124" s="52"/>
      <c r="J124" s="52">
        <f t="shared" si="3"/>
        <v>0</v>
      </c>
      <c r="K124" s="38"/>
      <c r="L124" s="63"/>
      <c r="M124" s="9"/>
      <c r="N124" s="9"/>
    </row>
    <row r="125" spans="1:18" ht="12" x14ac:dyDescent="0.2">
      <c r="A125" s="397" t="s">
        <v>145</v>
      </c>
      <c r="B125" s="397"/>
      <c r="C125" s="397"/>
      <c r="D125" s="397"/>
      <c r="E125" s="397"/>
      <c r="F125" s="397"/>
      <c r="G125" s="397"/>
      <c r="H125" s="397"/>
      <c r="I125" s="397"/>
      <c r="J125" s="397"/>
      <c r="K125" s="8"/>
    </row>
    <row r="126" spans="1:18" ht="12" x14ac:dyDescent="0.2">
      <c r="A126" s="415" t="s">
        <v>146</v>
      </c>
      <c r="B126" s="415"/>
      <c r="C126" s="415"/>
      <c r="D126" s="415"/>
      <c r="E126" s="415"/>
      <c r="F126" s="415"/>
      <c r="G126" s="415"/>
      <c r="H126" s="415"/>
      <c r="I126" s="415"/>
      <c r="J126" s="415"/>
      <c r="K126" s="8"/>
    </row>
    <row r="127" spans="1:18" ht="25.9" customHeight="1" x14ac:dyDescent="0.2">
      <c r="A127" s="41" t="s">
        <v>105</v>
      </c>
      <c r="B127" s="393" t="s">
        <v>106</v>
      </c>
      <c r="C127" s="394"/>
      <c r="D127" s="394"/>
      <c r="E127" s="394"/>
      <c r="F127" s="394"/>
      <c r="G127" s="394"/>
      <c r="H127" s="395"/>
      <c r="I127" s="67" t="s">
        <v>147</v>
      </c>
      <c r="J127" s="67" t="s">
        <v>148</v>
      </c>
      <c r="K127" s="8"/>
    </row>
    <row r="128" spans="1:18" ht="12" x14ac:dyDescent="0.2">
      <c r="A128" s="42">
        <v>1</v>
      </c>
      <c r="B128" s="396" t="s">
        <v>112</v>
      </c>
      <c r="C128" s="397"/>
      <c r="D128" s="397"/>
      <c r="E128" s="397"/>
      <c r="F128" s="397"/>
      <c r="G128" s="397"/>
      <c r="H128" s="398"/>
      <c r="I128" s="70">
        <v>62.81</v>
      </c>
      <c r="J128" s="72">
        <v>0.12</v>
      </c>
      <c r="K128" s="277"/>
      <c r="R128" s="63"/>
    </row>
    <row r="129" spans="1:18" ht="12" x14ac:dyDescent="0.2">
      <c r="A129" s="42">
        <v>2</v>
      </c>
      <c r="B129" s="396" t="s">
        <v>113</v>
      </c>
      <c r="C129" s="397"/>
      <c r="D129" s="397"/>
      <c r="E129" s="397"/>
      <c r="F129" s="397"/>
      <c r="G129" s="397"/>
      <c r="H129" s="398"/>
      <c r="I129" s="70">
        <v>62.81</v>
      </c>
      <c r="J129" s="72">
        <v>0.12</v>
      </c>
      <c r="K129" s="277"/>
      <c r="R129" s="63"/>
    </row>
    <row r="130" spans="1:18" ht="12" x14ac:dyDescent="0.2">
      <c r="A130" s="42">
        <v>3</v>
      </c>
      <c r="B130" s="396" t="s">
        <v>114</v>
      </c>
      <c r="C130" s="397"/>
      <c r="D130" s="397"/>
      <c r="E130" s="397"/>
      <c r="F130" s="397"/>
      <c r="G130" s="397"/>
      <c r="H130" s="398"/>
      <c r="I130" s="70">
        <v>71.48</v>
      </c>
      <c r="J130" s="72">
        <v>0.12</v>
      </c>
      <c r="K130" s="277"/>
      <c r="R130" s="63"/>
    </row>
    <row r="131" spans="1:18" ht="12" x14ac:dyDescent="0.2">
      <c r="A131" s="42">
        <v>4</v>
      </c>
      <c r="B131" s="396" t="s">
        <v>115</v>
      </c>
      <c r="C131" s="397"/>
      <c r="D131" s="397"/>
      <c r="E131" s="397"/>
      <c r="F131" s="397"/>
      <c r="G131" s="397"/>
      <c r="H131" s="398"/>
      <c r="I131" s="70">
        <v>62.81</v>
      </c>
      <c r="J131" s="72">
        <v>0.12</v>
      </c>
      <c r="K131" s="277"/>
      <c r="R131" s="63"/>
    </row>
    <row r="132" spans="1:18" ht="12" x14ac:dyDescent="0.2">
      <c r="A132" s="42">
        <v>5</v>
      </c>
      <c r="B132" s="396" t="s">
        <v>116</v>
      </c>
      <c r="C132" s="397"/>
      <c r="D132" s="397"/>
      <c r="E132" s="397"/>
      <c r="F132" s="397"/>
      <c r="G132" s="397"/>
      <c r="H132" s="398"/>
      <c r="I132" s="70">
        <v>62.81</v>
      </c>
      <c r="J132" s="72">
        <v>0.12</v>
      </c>
      <c r="K132" s="277"/>
      <c r="R132" s="63"/>
    </row>
    <row r="133" spans="1:18" ht="12" x14ac:dyDescent="0.2">
      <c r="A133" s="42">
        <v>6</v>
      </c>
      <c r="B133" s="396" t="s">
        <v>117</v>
      </c>
      <c r="C133" s="397"/>
      <c r="D133" s="397"/>
      <c r="E133" s="397"/>
      <c r="F133" s="397"/>
      <c r="G133" s="397"/>
      <c r="H133" s="398"/>
      <c r="I133" s="70">
        <v>73.040000000000006</v>
      </c>
      <c r="J133" s="72">
        <v>0.12</v>
      </c>
      <c r="K133" s="277"/>
      <c r="R133" s="63"/>
    </row>
    <row r="134" spans="1:18" ht="12" x14ac:dyDescent="0.2">
      <c r="A134" s="42">
        <v>7</v>
      </c>
      <c r="B134" s="396" t="s">
        <v>118</v>
      </c>
      <c r="C134" s="397"/>
      <c r="D134" s="397"/>
      <c r="E134" s="397"/>
      <c r="F134" s="397"/>
      <c r="G134" s="397"/>
      <c r="H134" s="398"/>
      <c r="I134" s="70">
        <v>73.040000000000006</v>
      </c>
      <c r="J134" s="72">
        <v>0.12</v>
      </c>
      <c r="K134" s="277"/>
      <c r="R134" s="63"/>
    </row>
    <row r="135" spans="1:18" ht="12" x14ac:dyDescent="0.2">
      <c r="A135" s="42">
        <v>8</v>
      </c>
      <c r="B135" s="396" t="s">
        <v>119</v>
      </c>
      <c r="C135" s="397"/>
      <c r="D135" s="397"/>
      <c r="E135" s="397"/>
      <c r="F135" s="397"/>
      <c r="G135" s="397"/>
      <c r="H135" s="398"/>
      <c r="I135" s="70">
        <v>73.040000000000006</v>
      </c>
      <c r="J135" s="52">
        <v>0</v>
      </c>
      <c r="K135" s="277"/>
      <c r="R135" s="63"/>
    </row>
    <row r="136" spans="1:18" ht="12" x14ac:dyDescent="0.2">
      <c r="A136" s="65">
        <v>9</v>
      </c>
      <c r="B136" s="396" t="s">
        <v>120</v>
      </c>
      <c r="C136" s="397"/>
      <c r="D136" s="397"/>
      <c r="E136" s="397"/>
      <c r="F136" s="397"/>
      <c r="G136" s="397"/>
      <c r="H136" s="398"/>
      <c r="I136" s="70">
        <v>107.18</v>
      </c>
      <c r="J136" s="72">
        <v>0.12</v>
      </c>
      <c r="K136" s="277"/>
      <c r="R136" s="63"/>
    </row>
    <row r="137" spans="1:18" ht="12" x14ac:dyDescent="0.2">
      <c r="A137" s="65">
        <v>10</v>
      </c>
      <c r="B137" s="396" t="s">
        <v>121</v>
      </c>
      <c r="C137" s="397"/>
      <c r="D137" s="397"/>
      <c r="E137" s="397"/>
      <c r="F137" s="397"/>
      <c r="G137" s="397"/>
      <c r="H137" s="398"/>
      <c r="I137" s="70">
        <v>107.18</v>
      </c>
      <c r="J137" s="72">
        <v>0.12</v>
      </c>
      <c r="K137" s="277"/>
      <c r="R137" s="63"/>
    </row>
    <row r="138" spans="1:18" ht="12" x14ac:dyDescent="0.2">
      <c r="A138" s="65">
        <v>11</v>
      </c>
      <c r="B138" s="396" t="s">
        <v>122</v>
      </c>
      <c r="C138" s="397"/>
      <c r="D138" s="397"/>
      <c r="E138" s="397"/>
      <c r="F138" s="397"/>
      <c r="G138" s="397"/>
      <c r="H138" s="398"/>
      <c r="I138" s="179">
        <v>108.4</v>
      </c>
      <c r="J138" s="72">
        <v>0.12</v>
      </c>
      <c r="K138" s="277"/>
    </row>
    <row r="139" spans="1:18" ht="12" x14ac:dyDescent="0.2">
      <c r="A139" s="65">
        <v>12</v>
      </c>
      <c r="B139" s="396" t="s">
        <v>123</v>
      </c>
      <c r="C139" s="397"/>
      <c r="D139" s="397"/>
      <c r="E139" s="397"/>
      <c r="F139" s="397"/>
      <c r="G139" s="397"/>
      <c r="H139" s="398"/>
      <c r="I139" s="179">
        <v>108.4</v>
      </c>
      <c r="J139" s="72">
        <v>0.12</v>
      </c>
      <c r="K139" s="277"/>
    </row>
    <row r="140" spans="1:18" ht="12" x14ac:dyDescent="0.2">
      <c r="A140" s="65">
        <v>13</v>
      </c>
      <c r="B140" s="396" t="s">
        <v>124</v>
      </c>
      <c r="C140" s="397"/>
      <c r="D140" s="397"/>
      <c r="E140" s="397"/>
      <c r="F140" s="397"/>
      <c r="G140" s="397"/>
      <c r="H140" s="398"/>
      <c r="I140" s="70">
        <v>62.81</v>
      </c>
      <c r="J140" s="52">
        <v>0</v>
      </c>
      <c r="K140" s="277"/>
    </row>
    <row r="141" spans="1:18" ht="12" x14ac:dyDescent="0.2">
      <c r="A141" s="65">
        <v>14</v>
      </c>
      <c r="B141" s="396" t="s">
        <v>125</v>
      </c>
      <c r="C141" s="397"/>
      <c r="D141" s="397"/>
      <c r="E141" s="397"/>
      <c r="F141" s="397"/>
      <c r="G141" s="397"/>
      <c r="H141" s="398"/>
      <c r="I141" s="70">
        <v>62.81</v>
      </c>
      <c r="J141" s="52">
        <v>0</v>
      </c>
      <c r="K141" s="277"/>
    </row>
    <row r="142" spans="1:18" ht="12" x14ac:dyDescent="0.2">
      <c r="A142" s="66"/>
      <c r="B142" s="66"/>
      <c r="C142" s="66"/>
      <c r="D142" s="66"/>
      <c r="E142" s="66"/>
      <c r="F142" s="66"/>
      <c r="G142" s="66"/>
      <c r="H142" s="66"/>
      <c r="I142" s="66"/>
      <c r="J142" s="66"/>
      <c r="K142" s="8"/>
    </row>
    <row r="143" spans="1:18" ht="12" x14ac:dyDescent="0.2">
      <c r="A143" s="413" t="s">
        <v>149</v>
      </c>
      <c r="B143" s="413"/>
      <c r="C143" s="413"/>
      <c r="D143" s="413"/>
      <c r="E143" s="413"/>
      <c r="F143" s="413"/>
      <c r="G143" s="413"/>
      <c r="H143" s="413"/>
      <c r="I143" s="413"/>
      <c r="J143" s="413"/>
      <c r="K143" s="50"/>
      <c r="M143" s="9"/>
      <c r="N143" s="9"/>
    </row>
    <row r="144" spans="1:18" ht="34.5" customHeight="1" x14ac:dyDescent="0.2">
      <c r="A144" s="5" t="s">
        <v>150</v>
      </c>
      <c r="B144" s="340" t="s">
        <v>151</v>
      </c>
      <c r="C144" s="403" t="s">
        <v>152</v>
      </c>
      <c r="D144" s="404"/>
      <c r="E144" s="404"/>
      <c r="F144" s="405"/>
      <c r="G144" s="5" t="s">
        <v>153</v>
      </c>
      <c r="H144" s="5" t="s">
        <v>154</v>
      </c>
      <c r="I144" s="5" t="s">
        <v>155</v>
      </c>
      <c r="J144" s="5" t="s">
        <v>156</v>
      </c>
      <c r="K144" s="50"/>
      <c r="M144" s="9"/>
      <c r="N144" s="9"/>
    </row>
    <row r="145" spans="1:11" s="348" customFormat="1" ht="12" customHeight="1" x14ac:dyDescent="0.2">
      <c r="A145" s="4">
        <v>1</v>
      </c>
      <c r="B145" s="4">
        <v>328</v>
      </c>
      <c r="C145" s="377" t="str">
        <f>IF(B145=0,"-",VLOOKUP($B145,BIP!A:F,6,FALSE))</f>
        <v>São Paulo - Palácio da Justiça</v>
      </c>
      <c r="D145" s="378"/>
      <c r="E145" s="378"/>
      <c r="F145" s="379"/>
      <c r="G145" s="344">
        <v>0.02</v>
      </c>
      <c r="H145" s="345">
        <f>IF(B145=0,"-",ROUND((1+$F$9)*(1+$F$10)/(1-$F$12-$F$11-$G145-$F$13)-1,4))</f>
        <v>0.27810000000000001</v>
      </c>
      <c r="I145" s="346">
        <v>10.98</v>
      </c>
      <c r="J145" s="35">
        <v>1</v>
      </c>
      <c r="K145" s="347"/>
    </row>
    <row r="146" spans="1:11" s="348" customFormat="1" ht="12" customHeight="1" x14ac:dyDescent="0.2">
      <c r="A146" s="4">
        <v>2</v>
      </c>
      <c r="B146" s="4">
        <v>13</v>
      </c>
      <c r="C146" s="377" t="str">
        <f>IF(B146=0,"-",VLOOKUP($B146,BIP!A:F,6,FALSE))</f>
        <v>Araraquara I - Fórum Principal</v>
      </c>
      <c r="D146" s="378"/>
      <c r="E146" s="378"/>
      <c r="F146" s="379"/>
      <c r="G146" s="344">
        <v>0.03</v>
      </c>
      <c r="H146" s="345">
        <f t="shared" ref="H146:H208" si="4">IF(B146=0,"-",ROUND((1+$F$9)*(1+$F$10)/(1-$F$12-$F$11-$G146-$F$13)-1,4))</f>
        <v>0.29260000000000003</v>
      </c>
      <c r="I146" s="346">
        <v>10.98</v>
      </c>
      <c r="J146" s="35">
        <v>1</v>
      </c>
      <c r="K146" s="347"/>
    </row>
    <row r="147" spans="1:11" s="348" customFormat="1" ht="12" customHeight="1" x14ac:dyDescent="0.2">
      <c r="A147" s="4">
        <v>3</v>
      </c>
      <c r="B147" s="4"/>
      <c r="C147" s="377" t="str">
        <f>IF(B147=0,"-",VLOOKUP($B147,BIP!A:F,6,FALSE))</f>
        <v>-</v>
      </c>
      <c r="D147" s="378"/>
      <c r="E147" s="378"/>
      <c r="F147" s="379"/>
      <c r="G147" s="344"/>
      <c r="H147" s="345" t="str">
        <f t="shared" si="4"/>
        <v>-</v>
      </c>
      <c r="I147" s="346"/>
      <c r="J147" s="35"/>
      <c r="K147" s="347"/>
    </row>
    <row r="148" spans="1:11" s="348" customFormat="1" ht="12" customHeight="1" x14ac:dyDescent="0.2">
      <c r="A148" s="4">
        <v>4</v>
      </c>
      <c r="B148" s="4"/>
      <c r="C148" s="377" t="str">
        <f>IF(B148=0,"-",VLOOKUP($B148,BIP!A:F,6,FALSE))</f>
        <v>-</v>
      </c>
      <c r="D148" s="378"/>
      <c r="E148" s="378"/>
      <c r="F148" s="379"/>
      <c r="G148" s="344"/>
      <c r="H148" s="345" t="str">
        <f t="shared" si="4"/>
        <v>-</v>
      </c>
      <c r="I148" s="346"/>
      <c r="J148" s="35"/>
      <c r="K148" s="347"/>
    </row>
    <row r="149" spans="1:11" s="348" customFormat="1" ht="12" customHeight="1" x14ac:dyDescent="0.2">
      <c r="A149" s="4">
        <v>5</v>
      </c>
      <c r="B149" s="4"/>
      <c r="C149" s="377" t="str">
        <f>IF(B149=0,"-",VLOOKUP($B149,BIP!A:F,6,FALSE))</f>
        <v>-</v>
      </c>
      <c r="D149" s="378"/>
      <c r="E149" s="378"/>
      <c r="F149" s="379"/>
      <c r="G149" s="344"/>
      <c r="H149" s="345" t="str">
        <f t="shared" si="4"/>
        <v>-</v>
      </c>
      <c r="I149" s="346"/>
      <c r="J149" s="35"/>
      <c r="K149" s="347"/>
    </row>
    <row r="150" spans="1:11" s="348" customFormat="1" ht="12" customHeight="1" x14ac:dyDescent="0.2">
      <c r="A150" s="4">
        <v>6</v>
      </c>
      <c r="B150" s="4"/>
      <c r="C150" s="377" t="str">
        <f>IF(B150=0,"-",VLOOKUP($B150,BIP!A:F,6,FALSE))</f>
        <v>-</v>
      </c>
      <c r="D150" s="378"/>
      <c r="E150" s="378"/>
      <c r="F150" s="379"/>
      <c r="G150" s="344"/>
      <c r="H150" s="345" t="str">
        <f t="shared" si="4"/>
        <v>-</v>
      </c>
      <c r="I150" s="346"/>
      <c r="J150" s="35"/>
      <c r="K150" s="347"/>
    </row>
    <row r="151" spans="1:11" s="348" customFormat="1" ht="12" customHeight="1" x14ac:dyDescent="0.2">
      <c r="A151" s="4">
        <v>7</v>
      </c>
      <c r="B151" s="4"/>
      <c r="C151" s="377" t="str">
        <f>IF(B151=0,"-",VLOOKUP($B151,BIP!A:F,6,FALSE))</f>
        <v>-</v>
      </c>
      <c r="D151" s="378"/>
      <c r="E151" s="378"/>
      <c r="F151" s="379"/>
      <c r="G151" s="344"/>
      <c r="H151" s="345" t="str">
        <f t="shared" si="4"/>
        <v>-</v>
      </c>
      <c r="I151" s="346"/>
      <c r="J151" s="35"/>
      <c r="K151" s="347"/>
    </row>
    <row r="152" spans="1:11" s="348" customFormat="1" ht="12" customHeight="1" x14ac:dyDescent="0.2">
      <c r="A152" s="4">
        <v>8</v>
      </c>
      <c r="B152" s="4"/>
      <c r="C152" s="377" t="str">
        <f>IF(B152=0,"-",VLOOKUP($B152,BIP!A:F,6,FALSE))</f>
        <v>-</v>
      </c>
      <c r="D152" s="378"/>
      <c r="E152" s="378"/>
      <c r="F152" s="379"/>
      <c r="G152" s="344"/>
      <c r="H152" s="345" t="str">
        <f t="shared" si="4"/>
        <v>-</v>
      </c>
      <c r="I152" s="346"/>
      <c r="J152" s="35"/>
      <c r="K152" s="347"/>
    </row>
    <row r="153" spans="1:11" s="348" customFormat="1" ht="12" customHeight="1" x14ac:dyDescent="0.2">
      <c r="A153" s="4">
        <v>9</v>
      </c>
      <c r="B153" s="4"/>
      <c r="C153" s="377" t="str">
        <f>IF(B153=0,"-",VLOOKUP($B153,BIP!A:F,6,FALSE))</f>
        <v>-</v>
      </c>
      <c r="D153" s="378"/>
      <c r="E153" s="378"/>
      <c r="F153" s="379"/>
      <c r="G153" s="344"/>
      <c r="H153" s="345" t="str">
        <f t="shared" si="4"/>
        <v>-</v>
      </c>
      <c r="I153" s="346"/>
      <c r="J153" s="35"/>
      <c r="K153" s="347"/>
    </row>
    <row r="154" spans="1:11" s="348" customFormat="1" ht="12" customHeight="1" x14ac:dyDescent="0.2">
      <c r="A154" s="4">
        <v>10</v>
      </c>
      <c r="B154" s="4"/>
      <c r="C154" s="377" t="str">
        <f>IF(B154=0,"-",VLOOKUP($B154,BIP!A:F,6,FALSE))</f>
        <v>-</v>
      </c>
      <c r="D154" s="378"/>
      <c r="E154" s="378"/>
      <c r="F154" s="379"/>
      <c r="G154" s="344"/>
      <c r="H154" s="345" t="str">
        <f t="shared" si="4"/>
        <v>-</v>
      </c>
      <c r="I154" s="346"/>
      <c r="J154" s="35"/>
      <c r="K154" s="347"/>
    </row>
    <row r="155" spans="1:11" s="348" customFormat="1" ht="12" customHeight="1" x14ac:dyDescent="0.2">
      <c r="A155" s="4">
        <v>11</v>
      </c>
      <c r="B155" s="4"/>
      <c r="C155" s="377" t="str">
        <f>IF(B155=0,"-",VLOOKUP($B155,BIP!A:F,6,FALSE))</f>
        <v>-</v>
      </c>
      <c r="D155" s="378"/>
      <c r="E155" s="378"/>
      <c r="F155" s="379"/>
      <c r="G155" s="344"/>
      <c r="H155" s="345" t="str">
        <f t="shared" si="4"/>
        <v>-</v>
      </c>
      <c r="I155" s="346"/>
      <c r="J155" s="35"/>
      <c r="K155" s="347"/>
    </row>
    <row r="156" spans="1:11" s="348" customFormat="1" ht="12" customHeight="1" x14ac:dyDescent="0.2">
      <c r="A156" s="4">
        <v>12</v>
      </c>
      <c r="B156" s="4"/>
      <c r="C156" s="377" t="str">
        <f>IF(B156=0,"-",VLOOKUP($B156,BIP!A:F,6,FALSE))</f>
        <v>-</v>
      </c>
      <c r="D156" s="378"/>
      <c r="E156" s="378"/>
      <c r="F156" s="379"/>
      <c r="G156" s="344"/>
      <c r="H156" s="345" t="str">
        <f t="shared" si="4"/>
        <v>-</v>
      </c>
      <c r="I156" s="346"/>
      <c r="J156" s="35"/>
      <c r="K156" s="347"/>
    </row>
    <row r="157" spans="1:11" s="348" customFormat="1" ht="12" customHeight="1" x14ac:dyDescent="0.2">
      <c r="A157" s="4">
        <v>13</v>
      </c>
      <c r="B157" s="4"/>
      <c r="C157" s="377" t="str">
        <f>IF(B157=0,"-",VLOOKUP($B157,BIP!A:F,6,FALSE))</f>
        <v>-</v>
      </c>
      <c r="D157" s="378"/>
      <c r="E157" s="378"/>
      <c r="F157" s="379"/>
      <c r="G157" s="344"/>
      <c r="H157" s="345" t="str">
        <f t="shared" si="4"/>
        <v>-</v>
      </c>
      <c r="I157" s="346"/>
      <c r="J157" s="35"/>
      <c r="K157" s="347"/>
    </row>
    <row r="158" spans="1:11" s="348" customFormat="1" ht="12" customHeight="1" x14ac:dyDescent="0.2">
      <c r="A158" s="4">
        <v>14</v>
      </c>
      <c r="B158" s="4"/>
      <c r="C158" s="377" t="str">
        <f>IF(B158=0,"-",VLOOKUP($B158,BIP!A:F,6,FALSE))</f>
        <v>-</v>
      </c>
      <c r="D158" s="378"/>
      <c r="E158" s="378"/>
      <c r="F158" s="379"/>
      <c r="G158" s="344"/>
      <c r="H158" s="345" t="str">
        <f t="shared" si="4"/>
        <v>-</v>
      </c>
      <c r="I158" s="346"/>
      <c r="J158" s="35"/>
      <c r="K158" s="347"/>
    </row>
    <row r="159" spans="1:11" s="348" customFormat="1" ht="12" customHeight="1" x14ac:dyDescent="0.2">
      <c r="A159" s="4">
        <v>15</v>
      </c>
      <c r="B159" s="4"/>
      <c r="C159" s="377" t="str">
        <f>IF(B159=0,"-",VLOOKUP($B159,BIP!A:F,6,FALSE))</f>
        <v>-</v>
      </c>
      <c r="D159" s="378"/>
      <c r="E159" s="378"/>
      <c r="F159" s="379"/>
      <c r="G159" s="344"/>
      <c r="H159" s="345" t="str">
        <f t="shared" si="4"/>
        <v>-</v>
      </c>
      <c r="I159" s="346"/>
      <c r="J159" s="35"/>
      <c r="K159" s="347"/>
    </row>
    <row r="160" spans="1:11" s="348" customFormat="1" ht="12" customHeight="1" x14ac:dyDescent="0.2">
      <c r="A160" s="4">
        <v>16</v>
      </c>
      <c r="B160" s="4"/>
      <c r="C160" s="377" t="str">
        <f>IF(B160=0,"-",VLOOKUP($B160,BIP!A:F,6,FALSE))</f>
        <v>-</v>
      </c>
      <c r="D160" s="378"/>
      <c r="E160" s="378"/>
      <c r="F160" s="379"/>
      <c r="G160" s="344"/>
      <c r="H160" s="345" t="str">
        <f t="shared" si="4"/>
        <v>-</v>
      </c>
      <c r="I160" s="346"/>
      <c r="J160" s="35"/>
      <c r="K160" s="347"/>
    </row>
    <row r="161" spans="1:11" s="348" customFormat="1" ht="12" customHeight="1" x14ac:dyDescent="0.2">
      <c r="A161" s="4">
        <v>17</v>
      </c>
      <c r="B161" s="4"/>
      <c r="C161" s="377" t="str">
        <f>IF(B161=0,"-",VLOOKUP($B161,BIP!A:F,6,FALSE))</f>
        <v>-</v>
      </c>
      <c r="D161" s="378"/>
      <c r="E161" s="378"/>
      <c r="F161" s="379"/>
      <c r="G161" s="344"/>
      <c r="H161" s="345" t="str">
        <f t="shared" si="4"/>
        <v>-</v>
      </c>
      <c r="I161" s="346"/>
      <c r="J161" s="35"/>
      <c r="K161" s="347"/>
    </row>
    <row r="162" spans="1:11" s="348" customFormat="1" ht="12" customHeight="1" x14ac:dyDescent="0.2">
      <c r="A162" s="4">
        <v>18</v>
      </c>
      <c r="B162" s="4"/>
      <c r="C162" s="377" t="str">
        <f>IF(B162=0,"-",VLOOKUP($B162,BIP!A:F,6,FALSE))</f>
        <v>-</v>
      </c>
      <c r="D162" s="378"/>
      <c r="E162" s="378"/>
      <c r="F162" s="379"/>
      <c r="G162" s="344"/>
      <c r="H162" s="345" t="str">
        <f t="shared" si="4"/>
        <v>-</v>
      </c>
      <c r="I162" s="346"/>
      <c r="J162" s="35"/>
      <c r="K162" s="347"/>
    </row>
    <row r="163" spans="1:11" s="348" customFormat="1" ht="12" customHeight="1" x14ac:dyDescent="0.2">
      <c r="A163" s="4">
        <v>19</v>
      </c>
      <c r="B163" s="4"/>
      <c r="C163" s="377" t="str">
        <f>IF(B163=0,"-",VLOOKUP($B163,BIP!A:F,6,FALSE))</f>
        <v>-</v>
      </c>
      <c r="D163" s="378"/>
      <c r="E163" s="378"/>
      <c r="F163" s="379"/>
      <c r="G163" s="344"/>
      <c r="H163" s="345" t="str">
        <f t="shared" si="4"/>
        <v>-</v>
      </c>
      <c r="I163" s="346"/>
      <c r="J163" s="35"/>
      <c r="K163" s="347"/>
    </row>
    <row r="164" spans="1:11" s="348" customFormat="1" ht="12" customHeight="1" x14ac:dyDescent="0.2">
      <c r="A164" s="4">
        <v>20</v>
      </c>
      <c r="B164" s="4"/>
      <c r="C164" s="377" t="str">
        <f>IF(B164=0,"-",VLOOKUP($B164,BIP!A:F,6,FALSE))</f>
        <v>-</v>
      </c>
      <c r="D164" s="378"/>
      <c r="E164" s="378"/>
      <c r="F164" s="379"/>
      <c r="G164" s="344"/>
      <c r="H164" s="345" t="str">
        <f t="shared" si="4"/>
        <v>-</v>
      </c>
      <c r="I164" s="346"/>
      <c r="J164" s="35"/>
      <c r="K164" s="347"/>
    </row>
    <row r="165" spans="1:11" s="348" customFormat="1" ht="12" customHeight="1" x14ac:dyDescent="0.2">
      <c r="A165" s="4">
        <v>21</v>
      </c>
      <c r="B165" s="4"/>
      <c r="C165" s="377" t="str">
        <f>IF(B165=0,"-",VLOOKUP($B165,BIP!A:F,6,FALSE))</f>
        <v>-</v>
      </c>
      <c r="D165" s="378"/>
      <c r="E165" s="378"/>
      <c r="F165" s="379"/>
      <c r="G165" s="344"/>
      <c r="H165" s="345" t="str">
        <f t="shared" si="4"/>
        <v>-</v>
      </c>
      <c r="I165" s="346"/>
      <c r="J165" s="35"/>
      <c r="K165" s="347"/>
    </row>
    <row r="166" spans="1:11" s="348" customFormat="1" ht="12" customHeight="1" x14ac:dyDescent="0.2">
      <c r="A166" s="4">
        <v>22</v>
      </c>
      <c r="B166" s="4"/>
      <c r="C166" s="377" t="str">
        <f>IF(B166=0,"-",VLOOKUP($B166,BIP!A:F,6,FALSE))</f>
        <v>-</v>
      </c>
      <c r="D166" s="378"/>
      <c r="E166" s="378"/>
      <c r="F166" s="379"/>
      <c r="G166" s="344"/>
      <c r="H166" s="345" t="str">
        <f t="shared" si="4"/>
        <v>-</v>
      </c>
      <c r="I166" s="346"/>
      <c r="J166" s="35"/>
      <c r="K166" s="347"/>
    </row>
    <row r="167" spans="1:11" s="348" customFormat="1" ht="12" customHeight="1" x14ac:dyDescent="0.2">
      <c r="A167" s="4">
        <v>23</v>
      </c>
      <c r="B167" s="4"/>
      <c r="C167" s="377" t="str">
        <f>IF(B167=0,"-",VLOOKUP($B167,BIP!A:F,6,FALSE))</f>
        <v>-</v>
      </c>
      <c r="D167" s="378"/>
      <c r="E167" s="378"/>
      <c r="F167" s="379"/>
      <c r="G167" s="344"/>
      <c r="H167" s="345" t="str">
        <f t="shared" si="4"/>
        <v>-</v>
      </c>
      <c r="I167" s="346"/>
      <c r="J167" s="35"/>
      <c r="K167" s="347"/>
    </row>
    <row r="168" spans="1:11" s="348" customFormat="1" ht="12" customHeight="1" x14ac:dyDescent="0.2">
      <c r="A168" s="4">
        <v>24</v>
      </c>
      <c r="B168" s="4"/>
      <c r="C168" s="377" t="str">
        <f>IF(B168=0,"-",VLOOKUP($B168,BIP!A:F,6,FALSE))</f>
        <v>-</v>
      </c>
      <c r="D168" s="378"/>
      <c r="E168" s="378"/>
      <c r="F168" s="379"/>
      <c r="G168" s="344"/>
      <c r="H168" s="345" t="str">
        <f t="shared" si="4"/>
        <v>-</v>
      </c>
      <c r="I168" s="346"/>
      <c r="J168" s="35"/>
      <c r="K168" s="347"/>
    </row>
    <row r="169" spans="1:11" s="348" customFormat="1" ht="12" customHeight="1" x14ac:dyDescent="0.2">
      <c r="A169" s="4">
        <v>25</v>
      </c>
      <c r="B169" s="4"/>
      <c r="C169" s="377" t="str">
        <f>IF(B169=0,"-",VLOOKUP($B169,BIP!A:F,6,FALSE))</f>
        <v>-</v>
      </c>
      <c r="D169" s="378"/>
      <c r="E169" s="378"/>
      <c r="F169" s="379"/>
      <c r="G169" s="344"/>
      <c r="H169" s="345" t="str">
        <f t="shared" si="4"/>
        <v>-</v>
      </c>
      <c r="I169" s="346"/>
      <c r="J169" s="35"/>
      <c r="K169" s="347"/>
    </row>
    <row r="170" spans="1:11" s="348" customFormat="1" ht="12" customHeight="1" x14ac:dyDescent="0.2">
      <c r="A170" s="4">
        <v>26</v>
      </c>
      <c r="B170" s="4"/>
      <c r="C170" s="377" t="str">
        <f>IF(B170=0,"-",VLOOKUP($B170,BIP!A:F,6,FALSE))</f>
        <v>-</v>
      </c>
      <c r="D170" s="378"/>
      <c r="E170" s="378"/>
      <c r="F170" s="379"/>
      <c r="G170" s="344"/>
      <c r="H170" s="345" t="str">
        <f t="shared" si="4"/>
        <v>-</v>
      </c>
      <c r="I170" s="346"/>
      <c r="J170" s="35"/>
      <c r="K170" s="347"/>
    </row>
    <row r="171" spans="1:11" s="348" customFormat="1" ht="12" customHeight="1" x14ac:dyDescent="0.2">
      <c r="A171" s="4">
        <v>27</v>
      </c>
      <c r="B171" s="4"/>
      <c r="C171" s="377" t="str">
        <f>IF(B171=0,"-",VLOOKUP($B171,BIP!A:F,6,FALSE))</f>
        <v>-</v>
      </c>
      <c r="D171" s="378"/>
      <c r="E171" s="378"/>
      <c r="F171" s="379"/>
      <c r="G171" s="344"/>
      <c r="H171" s="345" t="str">
        <f t="shared" si="4"/>
        <v>-</v>
      </c>
      <c r="I171" s="346"/>
      <c r="J171" s="35"/>
      <c r="K171" s="347"/>
    </row>
    <row r="172" spans="1:11" s="348" customFormat="1" ht="12" customHeight="1" x14ac:dyDescent="0.2">
      <c r="A172" s="4">
        <v>28</v>
      </c>
      <c r="B172" s="4"/>
      <c r="C172" s="377" t="str">
        <f>IF(B172=0,"-",VLOOKUP($B172,BIP!A:F,6,FALSE))</f>
        <v>-</v>
      </c>
      <c r="D172" s="378"/>
      <c r="E172" s="378"/>
      <c r="F172" s="379"/>
      <c r="G172" s="344"/>
      <c r="H172" s="345" t="str">
        <f t="shared" si="4"/>
        <v>-</v>
      </c>
      <c r="I172" s="346"/>
      <c r="J172" s="35"/>
      <c r="K172" s="347"/>
    </row>
    <row r="173" spans="1:11" s="348" customFormat="1" ht="12" customHeight="1" x14ac:dyDescent="0.2">
      <c r="A173" s="4">
        <v>29</v>
      </c>
      <c r="B173" s="4"/>
      <c r="C173" s="377" t="str">
        <f>IF(B173=0,"-",VLOOKUP($B173,BIP!A:F,6,FALSE))</f>
        <v>-</v>
      </c>
      <c r="D173" s="378"/>
      <c r="E173" s="378"/>
      <c r="F173" s="379"/>
      <c r="G173" s="344"/>
      <c r="H173" s="345" t="str">
        <f t="shared" si="4"/>
        <v>-</v>
      </c>
      <c r="I173" s="346"/>
      <c r="J173" s="35"/>
      <c r="K173" s="347"/>
    </row>
    <row r="174" spans="1:11" s="348" customFormat="1" ht="12" customHeight="1" x14ac:dyDescent="0.2">
      <c r="A174" s="4">
        <v>30</v>
      </c>
      <c r="B174" s="4"/>
      <c r="C174" s="377" t="str">
        <f>IF(B174=0,"-",VLOOKUP($B174,BIP!A:F,6,FALSE))</f>
        <v>-</v>
      </c>
      <c r="D174" s="378"/>
      <c r="E174" s="378"/>
      <c r="F174" s="379"/>
      <c r="G174" s="344"/>
      <c r="H174" s="345" t="str">
        <f t="shared" si="4"/>
        <v>-</v>
      </c>
      <c r="I174" s="346"/>
      <c r="J174" s="35"/>
      <c r="K174" s="347"/>
    </row>
    <row r="175" spans="1:11" s="348" customFormat="1" ht="12" customHeight="1" x14ac:dyDescent="0.2">
      <c r="A175" s="4">
        <v>31</v>
      </c>
      <c r="B175" s="4"/>
      <c r="C175" s="377" t="str">
        <f>IF(B175=0,"-",VLOOKUP($B175,BIP!A:F,6,FALSE))</f>
        <v>-</v>
      </c>
      <c r="D175" s="378"/>
      <c r="E175" s="378"/>
      <c r="F175" s="379"/>
      <c r="G175" s="344"/>
      <c r="H175" s="345" t="str">
        <f t="shared" si="4"/>
        <v>-</v>
      </c>
      <c r="I175" s="346"/>
      <c r="J175" s="35"/>
      <c r="K175" s="347"/>
    </row>
    <row r="176" spans="1:11" s="348" customFormat="1" ht="12" customHeight="1" x14ac:dyDescent="0.2">
      <c r="A176" s="4">
        <v>32</v>
      </c>
      <c r="B176" s="4"/>
      <c r="C176" s="377" t="str">
        <f>IF(B176=0,"-",VLOOKUP($B176,BIP!A:F,6,FALSE))</f>
        <v>-</v>
      </c>
      <c r="D176" s="378"/>
      <c r="E176" s="378"/>
      <c r="F176" s="379"/>
      <c r="G176" s="344"/>
      <c r="H176" s="345" t="str">
        <f t="shared" si="4"/>
        <v>-</v>
      </c>
      <c r="I176" s="346"/>
      <c r="J176" s="35"/>
      <c r="K176" s="347"/>
    </row>
    <row r="177" spans="1:11" s="348" customFormat="1" ht="12" customHeight="1" x14ac:dyDescent="0.2">
      <c r="A177" s="4">
        <v>33</v>
      </c>
      <c r="B177" s="4"/>
      <c r="C177" s="377" t="str">
        <f>IF(B177=0,"-",VLOOKUP($B177,BIP!A:F,6,FALSE))</f>
        <v>-</v>
      </c>
      <c r="D177" s="378"/>
      <c r="E177" s="378"/>
      <c r="F177" s="379"/>
      <c r="G177" s="344"/>
      <c r="H177" s="345" t="str">
        <f t="shared" si="4"/>
        <v>-</v>
      </c>
      <c r="I177" s="346"/>
      <c r="J177" s="35"/>
      <c r="K177" s="347"/>
    </row>
    <row r="178" spans="1:11" s="348" customFormat="1" ht="12" customHeight="1" x14ac:dyDescent="0.2">
      <c r="A178" s="4">
        <v>34</v>
      </c>
      <c r="B178" s="4"/>
      <c r="C178" s="377" t="str">
        <f>IF(B178=0,"-",VLOOKUP($B178,BIP!A:F,6,FALSE))</f>
        <v>-</v>
      </c>
      <c r="D178" s="378"/>
      <c r="E178" s="378"/>
      <c r="F178" s="379"/>
      <c r="G178" s="344"/>
      <c r="H178" s="345" t="str">
        <f t="shared" si="4"/>
        <v>-</v>
      </c>
      <c r="I178" s="346"/>
      <c r="J178" s="35"/>
      <c r="K178" s="347"/>
    </row>
    <row r="179" spans="1:11" s="348" customFormat="1" ht="12" customHeight="1" x14ac:dyDescent="0.2">
      <c r="A179" s="4">
        <v>35</v>
      </c>
      <c r="B179" s="4"/>
      <c r="C179" s="377" t="str">
        <f>IF(B179=0,"-",VLOOKUP($B179,BIP!A:F,6,FALSE))</f>
        <v>-</v>
      </c>
      <c r="D179" s="378"/>
      <c r="E179" s="378"/>
      <c r="F179" s="379"/>
      <c r="G179" s="344"/>
      <c r="H179" s="345" t="str">
        <f t="shared" si="4"/>
        <v>-</v>
      </c>
      <c r="I179" s="346"/>
      <c r="J179" s="35"/>
      <c r="K179" s="347"/>
    </row>
    <row r="180" spans="1:11" s="348" customFormat="1" ht="12" customHeight="1" x14ac:dyDescent="0.2">
      <c r="A180" s="4">
        <v>36</v>
      </c>
      <c r="B180" s="4"/>
      <c r="C180" s="377" t="str">
        <f>IF(B180=0,"-",VLOOKUP($B180,BIP!A:F,6,FALSE))</f>
        <v>-</v>
      </c>
      <c r="D180" s="378"/>
      <c r="E180" s="378"/>
      <c r="F180" s="379"/>
      <c r="G180" s="344"/>
      <c r="H180" s="345" t="str">
        <f t="shared" si="4"/>
        <v>-</v>
      </c>
      <c r="I180" s="346"/>
      <c r="J180" s="35"/>
      <c r="K180" s="347"/>
    </row>
    <row r="181" spans="1:11" s="348" customFormat="1" ht="12" customHeight="1" x14ac:dyDescent="0.2">
      <c r="A181" s="4">
        <v>37</v>
      </c>
      <c r="B181" s="4"/>
      <c r="C181" s="377" t="str">
        <f>IF(B181=0,"-",VLOOKUP($B181,BIP!A:F,6,FALSE))</f>
        <v>-</v>
      </c>
      <c r="D181" s="378"/>
      <c r="E181" s="378"/>
      <c r="F181" s="379"/>
      <c r="G181" s="344"/>
      <c r="H181" s="345" t="str">
        <f t="shared" si="4"/>
        <v>-</v>
      </c>
      <c r="I181" s="346"/>
      <c r="J181" s="35"/>
      <c r="K181" s="347"/>
    </row>
    <row r="182" spans="1:11" s="348" customFormat="1" ht="12" customHeight="1" x14ac:dyDescent="0.2">
      <c r="A182" s="4">
        <v>38</v>
      </c>
      <c r="B182" s="4"/>
      <c r="C182" s="377" t="str">
        <f>IF(B182=0,"-",VLOOKUP($B182,BIP!A:F,6,FALSE))</f>
        <v>-</v>
      </c>
      <c r="D182" s="378"/>
      <c r="E182" s="378"/>
      <c r="F182" s="379"/>
      <c r="G182" s="344"/>
      <c r="H182" s="345" t="str">
        <f t="shared" si="4"/>
        <v>-</v>
      </c>
      <c r="I182" s="346"/>
      <c r="J182" s="35"/>
      <c r="K182" s="347"/>
    </row>
    <row r="183" spans="1:11" s="348" customFormat="1" ht="12" customHeight="1" x14ac:dyDescent="0.2">
      <c r="A183" s="4">
        <v>39</v>
      </c>
      <c r="B183" s="4"/>
      <c r="C183" s="377" t="str">
        <f>IF(B183=0,"-",VLOOKUP($B183,BIP!A:F,6,FALSE))</f>
        <v>-</v>
      </c>
      <c r="D183" s="378"/>
      <c r="E183" s="378"/>
      <c r="F183" s="379"/>
      <c r="G183" s="344"/>
      <c r="H183" s="345" t="str">
        <f t="shared" si="4"/>
        <v>-</v>
      </c>
      <c r="I183" s="346"/>
      <c r="J183" s="35"/>
      <c r="K183" s="347"/>
    </row>
    <row r="184" spans="1:11" s="348" customFormat="1" ht="12" customHeight="1" x14ac:dyDescent="0.2">
      <c r="A184" s="4">
        <v>40</v>
      </c>
      <c r="B184" s="4"/>
      <c r="C184" s="377" t="str">
        <f>IF(B184=0,"-",VLOOKUP($B184,BIP!A:F,6,FALSE))</f>
        <v>-</v>
      </c>
      <c r="D184" s="378"/>
      <c r="E184" s="378"/>
      <c r="F184" s="379"/>
      <c r="G184" s="344"/>
      <c r="H184" s="345" t="str">
        <f t="shared" si="4"/>
        <v>-</v>
      </c>
      <c r="I184" s="346"/>
      <c r="J184" s="35"/>
      <c r="K184" s="347"/>
    </row>
    <row r="185" spans="1:11" s="348" customFormat="1" ht="12" customHeight="1" x14ac:dyDescent="0.2">
      <c r="A185" s="4">
        <v>41</v>
      </c>
      <c r="B185" s="4"/>
      <c r="C185" s="377" t="str">
        <f>IF(B185=0,"-",VLOOKUP($B185,BIP!A:F,6,FALSE))</f>
        <v>-</v>
      </c>
      <c r="D185" s="378"/>
      <c r="E185" s="378"/>
      <c r="F185" s="379"/>
      <c r="G185" s="344"/>
      <c r="H185" s="345" t="str">
        <f t="shared" si="4"/>
        <v>-</v>
      </c>
      <c r="I185" s="346"/>
      <c r="J185" s="35"/>
      <c r="K185" s="347"/>
    </row>
    <row r="186" spans="1:11" s="348" customFormat="1" ht="12" customHeight="1" x14ac:dyDescent="0.2">
      <c r="A186" s="4">
        <v>42</v>
      </c>
      <c r="B186" s="4"/>
      <c r="C186" s="377" t="str">
        <f>IF(B186=0,"-",VLOOKUP($B186,BIP!A:F,6,FALSE))</f>
        <v>-</v>
      </c>
      <c r="D186" s="378"/>
      <c r="E186" s="378"/>
      <c r="F186" s="379"/>
      <c r="G186" s="344"/>
      <c r="H186" s="345" t="str">
        <f t="shared" si="4"/>
        <v>-</v>
      </c>
      <c r="I186" s="346"/>
      <c r="J186" s="35"/>
      <c r="K186" s="347"/>
    </row>
    <row r="187" spans="1:11" s="348" customFormat="1" ht="12" customHeight="1" x14ac:dyDescent="0.2">
      <c r="A187" s="4">
        <v>43</v>
      </c>
      <c r="B187" s="4"/>
      <c r="C187" s="377" t="str">
        <f>IF(B187=0,"-",VLOOKUP($B187,BIP!A:F,6,FALSE))</f>
        <v>-</v>
      </c>
      <c r="D187" s="378"/>
      <c r="E187" s="378"/>
      <c r="F187" s="379"/>
      <c r="G187" s="344"/>
      <c r="H187" s="345" t="str">
        <f t="shared" si="4"/>
        <v>-</v>
      </c>
      <c r="I187" s="346"/>
      <c r="J187" s="35"/>
      <c r="K187" s="347"/>
    </row>
    <row r="188" spans="1:11" s="348" customFormat="1" ht="12" customHeight="1" x14ac:dyDescent="0.2">
      <c r="A188" s="4">
        <v>44</v>
      </c>
      <c r="B188" s="4"/>
      <c r="C188" s="377" t="str">
        <f>IF(B188=0,"-",VLOOKUP($B188,BIP!A:F,6,FALSE))</f>
        <v>-</v>
      </c>
      <c r="D188" s="378"/>
      <c r="E188" s="378"/>
      <c r="F188" s="379"/>
      <c r="G188" s="344"/>
      <c r="H188" s="345" t="str">
        <f t="shared" si="4"/>
        <v>-</v>
      </c>
      <c r="I188" s="346"/>
      <c r="J188" s="35"/>
      <c r="K188" s="347"/>
    </row>
    <row r="189" spans="1:11" s="348" customFormat="1" ht="12" customHeight="1" x14ac:dyDescent="0.2">
      <c r="A189" s="4">
        <v>45</v>
      </c>
      <c r="B189" s="4"/>
      <c r="C189" s="377" t="str">
        <f>IF(B189=0,"-",VLOOKUP($B189,BIP!A:F,6,FALSE))</f>
        <v>-</v>
      </c>
      <c r="D189" s="378"/>
      <c r="E189" s="378"/>
      <c r="F189" s="379"/>
      <c r="G189" s="344"/>
      <c r="H189" s="345" t="str">
        <f t="shared" si="4"/>
        <v>-</v>
      </c>
      <c r="I189" s="346"/>
      <c r="J189" s="35"/>
      <c r="K189" s="347"/>
    </row>
    <row r="190" spans="1:11" s="348" customFormat="1" ht="12" customHeight="1" x14ac:dyDescent="0.2">
      <c r="A190" s="4">
        <v>46</v>
      </c>
      <c r="B190" s="4"/>
      <c r="C190" s="377" t="str">
        <f>IF(B190=0,"-",VLOOKUP($B190,BIP!A:F,6,FALSE))</f>
        <v>-</v>
      </c>
      <c r="D190" s="378"/>
      <c r="E190" s="378"/>
      <c r="F190" s="379"/>
      <c r="G190" s="344"/>
      <c r="H190" s="345" t="str">
        <f t="shared" si="4"/>
        <v>-</v>
      </c>
      <c r="I190" s="346"/>
      <c r="J190" s="35"/>
      <c r="K190" s="347"/>
    </row>
    <row r="191" spans="1:11" s="348" customFormat="1" ht="12" customHeight="1" x14ac:dyDescent="0.2">
      <c r="A191" s="4">
        <v>47</v>
      </c>
      <c r="B191" s="4"/>
      <c r="C191" s="377" t="str">
        <f>IF(B191=0,"-",VLOOKUP($B191,BIP!A:F,6,FALSE))</f>
        <v>-</v>
      </c>
      <c r="D191" s="378"/>
      <c r="E191" s="378"/>
      <c r="F191" s="379"/>
      <c r="G191" s="344"/>
      <c r="H191" s="345" t="str">
        <f t="shared" si="4"/>
        <v>-</v>
      </c>
      <c r="I191" s="346"/>
      <c r="J191" s="35"/>
      <c r="K191" s="347"/>
    </row>
    <row r="192" spans="1:11" s="348" customFormat="1" ht="12" customHeight="1" x14ac:dyDescent="0.2">
      <c r="A192" s="4">
        <v>48</v>
      </c>
      <c r="B192" s="4"/>
      <c r="C192" s="377" t="str">
        <f>IF(B192=0,"-",VLOOKUP($B192,BIP!A:F,6,FALSE))</f>
        <v>-</v>
      </c>
      <c r="D192" s="378"/>
      <c r="E192" s="378"/>
      <c r="F192" s="379"/>
      <c r="G192" s="344"/>
      <c r="H192" s="345" t="str">
        <f t="shared" si="4"/>
        <v>-</v>
      </c>
      <c r="I192" s="346"/>
      <c r="J192" s="35"/>
      <c r="K192" s="347"/>
    </row>
    <row r="193" spans="1:11" s="348" customFormat="1" ht="12" customHeight="1" x14ac:dyDescent="0.2">
      <c r="A193" s="4">
        <v>49</v>
      </c>
      <c r="B193" s="4"/>
      <c r="C193" s="377" t="str">
        <f>IF(B193=0,"-",VLOOKUP($B193,BIP!A:F,6,FALSE))</f>
        <v>-</v>
      </c>
      <c r="D193" s="378"/>
      <c r="E193" s="378"/>
      <c r="F193" s="379"/>
      <c r="G193" s="344"/>
      <c r="H193" s="345" t="str">
        <f t="shared" si="4"/>
        <v>-</v>
      </c>
      <c r="I193" s="346"/>
      <c r="J193" s="35"/>
      <c r="K193" s="347"/>
    </row>
    <row r="194" spans="1:11" s="348" customFormat="1" ht="12" customHeight="1" x14ac:dyDescent="0.2">
      <c r="A194" s="4">
        <v>50</v>
      </c>
      <c r="B194" s="4"/>
      <c r="C194" s="377" t="str">
        <f>IF(B194=0,"-",VLOOKUP($B194,BIP!A:F,6,FALSE))</f>
        <v>-</v>
      </c>
      <c r="D194" s="378"/>
      <c r="E194" s="378"/>
      <c r="F194" s="379"/>
      <c r="G194" s="344"/>
      <c r="H194" s="345" t="str">
        <f t="shared" si="4"/>
        <v>-</v>
      </c>
      <c r="I194" s="346"/>
      <c r="J194" s="35"/>
      <c r="K194" s="347"/>
    </row>
    <row r="195" spans="1:11" s="348" customFormat="1" ht="12" customHeight="1" x14ac:dyDescent="0.2">
      <c r="A195" s="4">
        <v>51</v>
      </c>
      <c r="B195" s="4"/>
      <c r="C195" s="377" t="str">
        <f>IF(B195=0,"-",VLOOKUP($B195,BIP!A:F,6,FALSE))</f>
        <v>-</v>
      </c>
      <c r="D195" s="378"/>
      <c r="E195" s="378"/>
      <c r="F195" s="379"/>
      <c r="G195" s="344"/>
      <c r="H195" s="345" t="str">
        <f t="shared" si="4"/>
        <v>-</v>
      </c>
      <c r="I195" s="346"/>
      <c r="J195" s="35"/>
      <c r="K195" s="347"/>
    </row>
    <row r="196" spans="1:11" s="348" customFormat="1" ht="12" customHeight="1" x14ac:dyDescent="0.2">
      <c r="A196" s="4">
        <v>52</v>
      </c>
      <c r="B196" s="4"/>
      <c r="C196" s="377" t="str">
        <f>IF(B196=0,"-",VLOOKUP($B196,BIP!A:F,6,FALSE))</f>
        <v>-</v>
      </c>
      <c r="D196" s="378"/>
      <c r="E196" s="378"/>
      <c r="F196" s="379"/>
      <c r="G196" s="344"/>
      <c r="H196" s="345" t="str">
        <f t="shared" si="4"/>
        <v>-</v>
      </c>
      <c r="I196" s="346"/>
      <c r="J196" s="35"/>
      <c r="K196" s="347"/>
    </row>
    <row r="197" spans="1:11" s="348" customFormat="1" ht="12" customHeight="1" x14ac:dyDescent="0.2">
      <c r="A197" s="4">
        <v>53</v>
      </c>
      <c r="B197" s="4"/>
      <c r="C197" s="377" t="str">
        <f>IF(B197=0,"-",VLOOKUP($B197,BIP!A:F,6,FALSE))</f>
        <v>-</v>
      </c>
      <c r="D197" s="378"/>
      <c r="E197" s="378"/>
      <c r="F197" s="379"/>
      <c r="G197" s="344"/>
      <c r="H197" s="345" t="str">
        <f t="shared" si="4"/>
        <v>-</v>
      </c>
      <c r="I197" s="346"/>
      <c r="J197" s="35"/>
      <c r="K197" s="347"/>
    </row>
    <row r="198" spans="1:11" s="348" customFormat="1" ht="12" customHeight="1" x14ac:dyDescent="0.2">
      <c r="A198" s="4">
        <v>54</v>
      </c>
      <c r="B198" s="4"/>
      <c r="C198" s="377" t="str">
        <f>IF(B198=0,"-",VLOOKUP($B198,BIP!A:F,6,FALSE))</f>
        <v>-</v>
      </c>
      <c r="D198" s="378"/>
      <c r="E198" s="378"/>
      <c r="F198" s="379"/>
      <c r="G198" s="344"/>
      <c r="H198" s="345" t="str">
        <f t="shared" si="4"/>
        <v>-</v>
      </c>
      <c r="I198" s="346"/>
      <c r="J198" s="35"/>
      <c r="K198" s="347"/>
    </row>
    <row r="199" spans="1:11" s="348" customFormat="1" ht="12" customHeight="1" x14ac:dyDescent="0.2">
      <c r="A199" s="4">
        <v>55</v>
      </c>
      <c r="B199" s="4"/>
      <c r="C199" s="377" t="str">
        <f>IF(B199=0,"-",VLOOKUP($B199,BIP!A:F,6,FALSE))</f>
        <v>-</v>
      </c>
      <c r="D199" s="378"/>
      <c r="E199" s="378"/>
      <c r="F199" s="379"/>
      <c r="G199" s="344"/>
      <c r="H199" s="345" t="str">
        <f t="shared" si="4"/>
        <v>-</v>
      </c>
      <c r="I199" s="346"/>
      <c r="J199" s="35"/>
      <c r="K199" s="347"/>
    </row>
    <row r="200" spans="1:11" s="348" customFormat="1" ht="12" customHeight="1" x14ac:dyDescent="0.2">
      <c r="A200" s="4">
        <v>56</v>
      </c>
      <c r="B200" s="4"/>
      <c r="C200" s="377" t="str">
        <f>IF(B200=0,"-",VLOOKUP($B200,BIP!A:F,6,FALSE))</f>
        <v>-</v>
      </c>
      <c r="D200" s="378"/>
      <c r="E200" s="378"/>
      <c r="F200" s="379"/>
      <c r="G200" s="344"/>
      <c r="H200" s="345" t="str">
        <f t="shared" si="4"/>
        <v>-</v>
      </c>
      <c r="I200" s="346"/>
      <c r="J200" s="35"/>
      <c r="K200" s="347"/>
    </row>
    <row r="201" spans="1:11" s="348" customFormat="1" ht="12" customHeight="1" x14ac:dyDescent="0.2">
      <c r="A201" s="4">
        <v>57</v>
      </c>
      <c r="B201" s="4"/>
      <c r="C201" s="377" t="str">
        <f>IF(B201=0,"-",VLOOKUP($B201,BIP!A:F,6,FALSE))</f>
        <v>-</v>
      </c>
      <c r="D201" s="378"/>
      <c r="E201" s="378"/>
      <c r="F201" s="379"/>
      <c r="G201" s="344"/>
      <c r="H201" s="345" t="str">
        <f t="shared" si="4"/>
        <v>-</v>
      </c>
      <c r="I201" s="346"/>
      <c r="J201" s="35"/>
      <c r="K201" s="347"/>
    </row>
    <row r="202" spans="1:11" s="348" customFormat="1" ht="12" customHeight="1" x14ac:dyDescent="0.2">
      <c r="A202" s="4">
        <v>58</v>
      </c>
      <c r="B202" s="4"/>
      <c r="C202" s="377" t="str">
        <f>IF(B202=0,"-",VLOOKUP($B202,BIP!A:F,6,FALSE))</f>
        <v>-</v>
      </c>
      <c r="D202" s="378"/>
      <c r="E202" s="378"/>
      <c r="F202" s="379"/>
      <c r="G202" s="344"/>
      <c r="H202" s="345" t="str">
        <f t="shared" si="4"/>
        <v>-</v>
      </c>
      <c r="I202" s="346"/>
      <c r="J202" s="35"/>
      <c r="K202" s="347"/>
    </row>
    <row r="203" spans="1:11" s="348" customFormat="1" ht="12" customHeight="1" x14ac:dyDescent="0.2">
      <c r="A203" s="4">
        <v>59</v>
      </c>
      <c r="B203" s="4"/>
      <c r="C203" s="377" t="str">
        <f>IF(B203=0,"-",VLOOKUP($B203,BIP!A:F,6,FALSE))</f>
        <v>-</v>
      </c>
      <c r="D203" s="378"/>
      <c r="E203" s="378"/>
      <c r="F203" s="379"/>
      <c r="G203" s="344"/>
      <c r="H203" s="345" t="str">
        <f t="shared" si="4"/>
        <v>-</v>
      </c>
      <c r="I203" s="346"/>
      <c r="J203" s="35"/>
      <c r="K203" s="347"/>
    </row>
    <row r="204" spans="1:11" s="348" customFormat="1" ht="12" customHeight="1" x14ac:dyDescent="0.2">
      <c r="A204" s="4">
        <v>60</v>
      </c>
      <c r="B204" s="4"/>
      <c r="C204" s="377" t="str">
        <f>IF(B204=0,"-",VLOOKUP($B204,BIP!A:F,6,FALSE))</f>
        <v>-</v>
      </c>
      <c r="D204" s="378"/>
      <c r="E204" s="378"/>
      <c r="F204" s="379"/>
      <c r="G204" s="344"/>
      <c r="H204" s="345" t="str">
        <f t="shared" si="4"/>
        <v>-</v>
      </c>
      <c r="I204" s="346"/>
      <c r="J204" s="35"/>
      <c r="K204" s="347"/>
    </row>
    <row r="205" spans="1:11" s="348" customFormat="1" ht="12" customHeight="1" x14ac:dyDescent="0.2">
      <c r="A205" s="4">
        <v>61</v>
      </c>
      <c r="B205" s="4"/>
      <c r="C205" s="377" t="str">
        <f>IF(B205=0,"-",VLOOKUP($B205,BIP!A:F,6,FALSE))</f>
        <v>-</v>
      </c>
      <c r="D205" s="378"/>
      <c r="E205" s="378"/>
      <c r="F205" s="379"/>
      <c r="G205" s="344"/>
      <c r="H205" s="345" t="str">
        <f t="shared" si="4"/>
        <v>-</v>
      </c>
      <c r="I205" s="346"/>
      <c r="J205" s="35"/>
      <c r="K205" s="347"/>
    </row>
    <row r="206" spans="1:11" s="348" customFormat="1" ht="12" customHeight="1" x14ac:dyDescent="0.2">
      <c r="A206" s="4">
        <v>62</v>
      </c>
      <c r="B206" s="4"/>
      <c r="C206" s="377" t="str">
        <f>IF(B206=0,"-",VLOOKUP($B206,BIP!A:F,6,FALSE))</f>
        <v>-</v>
      </c>
      <c r="D206" s="378"/>
      <c r="E206" s="378"/>
      <c r="F206" s="379"/>
      <c r="G206" s="344"/>
      <c r="H206" s="345" t="str">
        <f t="shared" si="4"/>
        <v>-</v>
      </c>
      <c r="I206" s="346"/>
      <c r="J206" s="35"/>
      <c r="K206" s="347"/>
    </row>
    <row r="207" spans="1:11" s="348" customFormat="1" ht="12" customHeight="1" x14ac:dyDescent="0.2">
      <c r="A207" s="4">
        <v>63</v>
      </c>
      <c r="B207" s="4"/>
      <c r="C207" s="377" t="str">
        <f>IF(B207=0,"-",VLOOKUP($B207,BIP!A:F,6,FALSE))</f>
        <v>-</v>
      </c>
      <c r="D207" s="378"/>
      <c r="E207" s="378"/>
      <c r="F207" s="379"/>
      <c r="G207" s="344"/>
      <c r="H207" s="345" t="str">
        <f t="shared" si="4"/>
        <v>-</v>
      </c>
      <c r="I207" s="346"/>
      <c r="J207" s="35"/>
      <c r="K207" s="347"/>
    </row>
    <row r="208" spans="1:11" s="348" customFormat="1" ht="12" customHeight="1" x14ac:dyDescent="0.2">
      <c r="A208" s="4">
        <v>64</v>
      </c>
      <c r="B208" s="4"/>
      <c r="C208" s="377" t="str">
        <f>IF(B208=0,"-",VLOOKUP($B208,BIP!A:F,6,FALSE))</f>
        <v>-</v>
      </c>
      <c r="D208" s="378"/>
      <c r="E208" s="378"/>
      <c r="F208" s="379"/>
      <c r="G208" s="344"/>
      <c r="H208" s="345" t="str">
        <f t="shared" si="4"/>
        <v>-</v>
      </c>
      <c r="I208" s="346"/>
      <c r="J208" s="35"/>
      <c r="K208" s="347"/>
    </row>
    <row r="209" spans="1:11" ht="8.25" customHeight="1" x14ac:dyDescent="0.2">
      <c r="A209" s="9"/>
      <c r="B209" s="9"/>
      <c r="C209" s="9"/>
      <c r="D209" s="9"/>
      <c r="E209" s="9"/>
      <c r="F209" s="9"/>
      <c r="G209" s="9"/>
      <c r="H209" s="9"/>
      <c r="I209" s="9"/>
      <c r="J209" s="9"/>
    </row>
    <row r="210" spans="1:11" ht="15" customHeight="1" x14ac:dyDescent="0.2">
      <c r="A210" s="426" t="s">
        <v>157</v>
      </c>
      <c r="B210" s="427"/>
      <c r="C210" s="427"/>
      <c r="D210" s="427"/>
      <c r="E210" s="427"/>
      <c r="F210" s="427"/>
      <c r="G210" s="427"/>
      <c r="H210" s="427"/>
      <c r="I210" s="427"/>
      <c r="J210" s="428"/>
    </row>
    <row r="211" spans="1:11" ht="15" customHeight="1" x14ac:dyDescent="0.2">
      <c r="A211" s="429" t="s">
        <v>158</v>
      </c>
      <c r="B211" s="430"/>
      <c r="C211" s="430"/>
      <c r="D211" s="430"/>
      <c r="E211" s="430"/>
      <c r="F211" s="430"/>
      <c r="G211" s="430"/>
      <c r="H211" s="430"/>
      <c r="I211" s="430"/>
      <c r="J211" s="431"/>
    </row>
    <row r="212" spans="1:11" ht="6" customHeight="1" x14ac:dyDescent="0.2">
      <c r="A212" s="59"/>
      <c r="B212" s="59"/>
      <c r="C212" s="59"/>
      <c r="D212" s="59"/>
      <c r="E212" s="59"/>
      <c r="F212" s="59"/>
      <c r="G212" s="60"/>
      <c r="H212" s="59"/>
      <c r="I212" s="60"/>
      <c r="J212" s="59"/>
    </row>
    <row r="213" spans="1:11" ht="15" customHeight="1" x14ac:dyDescent="0.2">
      <c r="A213" s="139"/>
      <c r="B213" s="139"/>
      <c r="C213" s="139"/>
      <c r="D213" s="139"/>
      <c r="E213" s="139"/>
      <c r="F213" s="139"/>
      <c r="G213" s="139"/>
      <c r="H213" s="139"/>
      <c r="I213" s="139"/>
      <c r="J213" s="140"/>
    </row>
    <row r="214" spans="1:11" ht="15" customHeight="1" x14ac:dyDescent="0.2">
      <c r="A214" s="141"/>
      <c r="B214" s="141"/>
      <c r="C214" s="141"/>
      <c r="D214" s="141"/>
      <c r="E214" s="141"/>
      <c r="F214" s="141"/>
      <c r="G214" s="141"/>
      <c r="H214" s="141"/>
      <c r="I214" s="141"/>
      <c r="J214" s="142"/>
    </row>
    <row r="215" spans="1:11" ht="15" customHeight="1" x14ac:dyDescent="0.2">
      <c r="A215" s="141"/>
      <c r="B215" s="141"/>
      <c r="C215" s="141"/>
      <c r="D215" s="141"/>
      <c r="E215" s="141"/>
      <c r="F215" s="141"/>
      <c r="G215" s="141"/>
      <c r="H215" s="141"/>
      <c r="I215" s="141"/>
      <c r="J215" s="142"/>
    </row>
    <row r="216" spans="1:11" ht="15" customHeight="1" x14ac:dyDescent="0.2">
      <c r="A216" s="141"/>
      <c r="B216" s="141"/>
      <c r="C216" s="141"/>
      <c r="D216" s="141"/>
      <c r="E216" s="141"/>
      <c r="F216" s="141"/>
      <c r="G216" s="141"/>
      <c r="H216" s="141"/>
      <c r="I216" s="141"/>
      <c r="J216" s="142"/>
    </row>
    <row r="217" spans="1:11" ht="15" customHeight="1" x14ac:dyDescent="0.2">
      <c r="A217" s="141"/>
      <c r="B217" s="141"/>
      <c r="C217" s="141"/>
      <c r="D217" s="141"/>
      <c r="E217" s="141"/>
      <c r="F217" s="141"/>
      <c r="G217" s="141"/>
      <c r="H217" s="141"/>
      <c r="I217" s="141"/>
      <c r="J217" s="142"/>
    </row>
    <row r="218" spans="1:11" ht="15" customHeight="1" x14ac:dyDescent="0.2">
      <c r="A218" s="143"/>
      <c r="B218" s="143"/>
      <c r="C218" s="143"/>
      <c r="D218" s="143"/>
      <c r="E218" s="143"/>
      <c r="F218" s="143"/>
      <c r="G218" s="143"/>
      <c r="H218" s="143"/>
      <c r="I218" s="143"/>
      <c r="J218" s="144"/>
    </row>
    <row r="219" spans="1:11" ht="15" customHeight="1" x14ac:dyDescent="0.2">
      <c r="A219" s="9"/>
      <c r="B219" s="9"/>
      <c r="C219" s="9"/>
      <c r="D219" s="9"/>
      <c r="E219" s="9"/>
      <c r="F219" s="9"/>
      <c r="G219" s="55"/>
      <c r="H219" s="9"/>
      <c r="I219" s="55"/>
      <c r="J219" s="9"/>
    </row>
    <row r="220" spans="1:11" ht="15" customHeight="1" x14ac:dyDescent="0.2">
      <c r="A220" s="9"/>
      <c r="B220" s="9"/>
      <c r="C220" s="9"/>
      <c r="D220" s="9"/>
      <c r="E220" s="9"/>
      <c r="F220" s="9"/>
      <c r="G220" s="55"/>
      <c r="H220" s="9"/>
      <c r="I220" s="55"/>
      <c r="J220" s="9"/>
    </row>
    <row r="221" spans="1:11" ht="15" customHeight="1" x14ac:dyDescent="0.2">
      <c r="A221" s="9"/>
      <c r="B221" s="9"/>
      <c r="C221" s="9"/>
      <c r="D221" s="9"/>
      <c r="E221" s="9"/>
      <c r="F221" s="9"/>
      <c r="G221" s="55"/>
      <c r="H221" s="9"/>
      <c r="I221" s="55"/>
      <c r="J221" s="9"/>
    </row>
    <row r="222" spans="1:11" ht="15" customHeight="1" x14ac:dyDescent="0.2">
      <c r="A222" s="9"/>
      <c r="B222" s="9"/>
      <c r="C222" s="9"/>
      <c r="D222" s="9"/>
      <c r="E222" s="9"/>
      <c r="F222" s="9"/>
      <c r="G222" s="55"/>
      <c r="H222" s="9"/>
      <c r="I222" s="55"/>
      <c r="J222" s="9"/>
    </row>
    <row r="223" spans="1:11" ht="97.9" customHeight="1" x14ac:dyDescent="0.2">
      <c r="A223" s="9"/>
      <c r="B223" s="9"/>
      <c r="C223" s="9"/>
      <c r="D223" s="9"/>
      <c r="E223" s="9"/>
      <c r="F223" s="9"/>
      <c r="G223" s="55"/>
      <c r="H223" s="9"/>
      <c r="I223" s="55"/>
      <c r="J223" s="9"/>
      <c r="K223" s="8"/>
    </row>
    <row r="224" spans="1:11" ht="15" customHeight="1" x14ac:dyDescent="0.2">
      <c r="A224" s="9"/>
      <c r="B224" s="9"/>
      <c r="C224" s="9"/>
      <c r="D224" s="9"/>
      <c r="E224" s="9"/>
      <c r="F224" s="9"/>
      <c r="G224" s="55"/>
      <c r="H224" s="9"/>
      <c r="I224" s="55"/>
      <c r="J224" s="9"/>
    </row>
    <row r="225" spans="1:10" ht="15" customHeight="1" x14ac:dyDescent="0.2">
      <c r="A225" s="9"/>
      <c r="B225" s="9"/>
      <c r="C225" s="9"/>
      <c r="D225" s="9"/>
      <c r="E225" s="9"/>
      <c r="F225" s="9"/>
      <c r="G225" s="55"/>
      <c r="H225" s="9"/>
      <c r="I225" s="55"/>
      <c r="J225" s="9"/>
    </row>
    <row r="226" spans="1:10" ht="15" customHeight="1" x14ac:dyDescent="0.2">
      <c r="A226" s="9"/>
      <c r="B226" s="9"/>
      <c r="C226" s="9"/>
      <c r="D226" s="9"/>
      <c r="E226" s="9"/>
      <c r="F226" s="9"/>
      <c r="G226" s="55"/>
      <c r="H226" s="9"/>
      <c r="I226" s="55"/>
      <c r="J226" s="9"/>
    </row>
    <row r="227" spans="1:10" ht="15" customHeight="1" x14ac:dyDescent="0.2">
      <c r="A227" s="9"/>
      <c r="B227" s="9"/>
      <c r="C227" s="9"/>
      <c r="D227" s="9"/>
      <c r="E227" s="9"/>
      <c r="F227" s="9"/>
      <c r="G227" s="55"/>
      <c r="H227" s="9"/>
      <c r="I227" s="55"/>
      <c r="J227" s="9"/>
    </row>
    <row r="228" spans="1:10" ht="15" customHeight="1" x14ac:dyDescent="0.2">
      <c r="A228" s="9"/>
      <c r="B228" s="9"/>
      <c r="C228" s="9"/>
      <c r="D228" s="9"/>
      <c r="E228" s="9"/>
      <c r="F228" s="9"/>
      <c r="G228" s="55"/>
      <c r="H228" s="9"/>
      <c r="I228" s="55"/>
      <c r="J228" s="9"/>
    </row>
    <row r="229" spans="1:10" ht="15" customHeight="1" x14ac:dyDescent="0.2">
      <c r="A229" s="9"/>
      <c r="B229" s="9"/>
      <c r="C229" s="9"/>
      <c r="D229" s="9"/>
      <c r="E229" s="9"/>
      <c r="F229" s="9"/>
      <c r="G229" s="55"/>
      <c r="H229" s="9"/>
      <c r="I229" s="55"/>
      <c r="J229" s="9"/>
    </row>
    <row r="230" spans="1:10" ht="15" customHeight="1" x14ac:dyDescent="0.2">
      <c r="A230" s="9"/>
      <c r="B230" s="9"/>
      <c r="C230" s="9"/>
      <c r="D230" s="9"/>
      <c r="E230" s="9"/>
      <c r="F230" s="9"/>
      <c r="G230" s="55"/>
      <c r="H230" s="9"/>
      <c r="I230" s="55"/>
      <c r="J230" s="9"/>
    </row>
    <row r="231" spans="1:10" ht="15" customHeight="1" x14ac:dyDescent="0.2">
      <c r="A231" s="9"/>
      <c r="B231" s="9"/>
      <c r="C231" s="9"/>
      <c r="D231" s="9"/>
      <c r="E231" s="9"/>
      <c r="F231" s="9"/>
      <c r="G231" s="55"/>
      <c r="H231" s="9"/>
      <c r="I231" s="55"/>
      <c r="J231" s="9"/>
    </row>
    <row r="232" spans="1:10" ht="15" customHeight="1" x14ac:dyDescent="0.2">
      <c r="A232" s="9"/>
      <c r="B232" s="9"/>
      <c r="C232" s="9"/>
      <c r="D232" s="9"/>
      <c r="E232" s="9"/>
      <c r="F232" s="9"/>
      <c r="G232" s="55"/>
      <c r="H232" s="9"/>
      <c r="I232" s="55"/>
      <c r="J232" s="9"/>
    </row>
    <row r="233" spans="1:10" ht="15" customHeight="1" x14ac:dyDescent="0.2">
      <c r="A233" s="9"/>
      <c r="B233" s="9"/>
      <c r="C233" s="9"/>
      <c r="D233" s="9"/>
      <c r="E233" s="9"/>
      <c r="F233" s="9"/>
      <c r="G233" s="55"/>
      <c r="H233" s="9"/>
      <c r="I233" s="55"/>
      <c r="J233" s="9"/>
    </row>
    <row r="234" spans="1:10" ht="15" customHeight="1" x14ac:dyDescent="0.2">
      <c r="A234" s="9"/>
      <c r="B234" s="9"/>
      <c r="C234" s="9"/>
      <c r="D234" s="9"/>
      <c r="E234" s="9"/>
      <c r="F234" s="9"/>
      <c r="G234" s="55"/>
      <c r="H234" s="9"/>
      <c r="I234" s="55"/>
      <c r="J234" s="9"/>
    </row>
    <row r="235" spans="1:10" ht="15" customHeight="1" x14ac:dyDescent="0.2">
      <c r="A235" s="9"/>
      <c r="B235" s="9"/>
      <c r="C235" s="9"/>
      <c r="D235" s="9"/>
      <c r="E235" s="9"/>
      <c r="F235" s="9"/>
      <c r="G235" s="55"/>
      <c r="H235" s="9"/>
      <c r="I235" s="55"/>
      <c r="J235" s="9"/>
    </row>
    <row r="236" spans="1:10" ht="15" customHeight="1" x14ac:dyDescent="0.2">
      <c r="A236" s="9"/>
      <c r="B236" s="9"/>
      <c r="C236" s="9"/>
      <c r="D236" s="9"/>
      <c r="E236" s="9"/>
      <c r="F236" s="9"/>
      <c r="G236" s="55"/>
      <c r="H236" s="9"/>
      <c r="I236" s="55"/>
      <c r="J236" s="9"/>
    </row>
    <row r="237" spans="1:10" ht="15" customHeight="1" x14ac:dyDescent="0.2">
      <c r="A237" s="9"/>
      <c r="B237" s="9"/>
      <c r="C237" s="9"/>
      <c r="D237" s="9"/>
      <c r="E237" s="9"/>
      <c r="F237" s="9"/>
      <c r="G237" s="55"/>
      <c r="H237" s="9"/>
      <c r="I237" s="55"/>
      <c r="J237" s="9"/>
    </row>
    <row r="238" spans="1:10" ht="15" customHeight="1" x14ac:dyDescent="0.2">
      <c r="A238" s="9"/>
      <c r="B238" s="9"/>
      <c r="C238" s="9"/>
      <c r="D238" s="9"/>
      <c r="E238" s="9"/>
      <c r="F238" s="9"/>
      <c r="G238" s="55"/>
      <c r="H238" s="9"/>
      <c r="I238" s="55"/>
      <c r="J238" s="9"/>
    </row>
    <row r="239" spans="1:10" ht="15" customHeight="1" x14ac:dyDescent="0.2">
      <c r="A239" s="9"/>
      <c r="B239" s="9"/>
      <c r="C239" s="9"/>
      <c r="D239" s="9"/>
      <c r="E239" s="9"/>
      <c r="F239" s="9"/>
      <c r="G239" s="55"/>
      <c r="H239" s="9"/>
      <c r="I239" s="55"/>
      <c r="J239" s="9"/>
    </row>
    <row r="240" spans="1:10" ht="15" customHeight="1" x14ac:dyDescent="0.2">
      <c r="A240" s="9"/>
      <c r="B240" s="9"/>
      <c r="C240" s="9"/>
      <c r="D240" s="9"/>
      <c r="E240" s="9"/>
      <c r="F240" s="9"/>
      <c r="G240" s="55"/>
      <c r="H240" s="9"/>
      <c r="I240" s="55"/>
      <c r="J240" s="9"/>
    </row>
    <row r="241" spans="1:10" ht="15" customHeight="1" x14ac:dyDescent="0.2">
      <c r="A241" s="9"/>
      <c r="B241" s="9"/>
      <c r="C241" s="9"/>
      <c r="D241" s="9"/>
      <c r="E241" s="9"/>
      <c r="F241" s="9"/>
      <c r="G241" s="55"/>
      <c r="H241" s="9"/>
      <c r="I241" s="55"/>
      <c r="J241" s="9"/>
    </row>
    <row r="242" spans="1:10" ht="15" customHeight="1" x14ac:dyDescent="0.2">
      <c r="A242" s="9"/>
      <c r="B242" s="9"/>
      <c r="C242" s="9"/>
      <c r="D242" s="9"/>
      <c r="E242" s="9"/>
      <c r="F242" s="9"/>
      <c r="G242" s="55"/>
      <c r="H242" s="9"/>
      <c r="I242" s="55"/>
      <c r="J242" s="9"/>
    </row>
    <row r="243" spans="1:10" ht="15" customHeight="1" x14ac:dyDescent="0.2">
      <c r="A243" s="9"/>
      <c r="B243" s="9"/>
      <c r="C243" s="9"/>
      <c r="D243" s="9"/>
      <c r="E243" s="9"/>
      <c r="F243" s="9"/>
      <c r="G243" s="55"/>
      <c r="H243" s="9"/>
      <c r="I243" s="55"/>
      <c r="J243" s="9"/>
    </row>
    <row r="244" spans="1:10" ht="15" customHeight="1" x14ac:dyDescent="0.2">
      <c r="A244" s="9"/>
      <c r="B244" s="9"/>
      <c r="C244" s="9"/>
      <c r="D244" s="9"/>
      <c r="E244" s="9"/>
      <c r="F244" s="9"/>
      <c r="G244" s="55"/>
      <c r="H244" s="9"/>
      <c r="I244" s="55"/>
      <c r="J244" s="9"/>
    </row>
    <row r="245" spans="1:10" ht="15" customHeight="1" x14ac:dyDescent="0.2">
      <c r="A245" s="9"/>
      <c r="B245" s="9"/>
      <c r="C245" s="9"/>
      <c r="D245" s="9"/>
      <c r="E245" s="9"/>
      <c r="F245" s="9"/>
      <c r="G245" s="55"/>
      <c r="H245" s="9"/>
      <c r="I245" s="55"/>
      <c r="J245" s="9"/>
    </row>
    <row r="246" spans="1:10" ht="15" customHeight="1" x14ac:dyDescent="0.2">
      <c r="A246" s="9"/>
      <c r="B246" s="9"/>
      <c r="C246" s="9"/>
      <c r="D246" s="9"/>
      <c r="E246" s="9"/>
      <c r="F246" s="9"/>
      <c r="G246" s="55"/>
      <c r="H246" s="9"/>
      <c r="I246" s="55"/>
      <c r="J246" s="9"/>
    </row>
    <row r="247" spans="1:10" ht="15" customHeight="1" x14ac:dyDescent="0.2">
      <c r="A247" s="9"/>
      <c r="B247" s="9"/>
      <c r="C247" s="9"/>
      <c r="D247" s="9"/>
      <c r="E247" s="9"/>
      <c r="F247" s="9"/>
      <c r="G247" s="55"/>
      <c r="H247" s="9"/>
      <c r="I247" s="55"/>
      <c r="J247" s="9"/>
    </row>
    <row r="248" spans="1:10" ht="15" customHeight="1" x14ac:dyDescent="0.2">
      <c r="A248" s="9"/>
      <c r="B248" s="9"/>
      <c r="C248" s="9"/>
      <c r="D248" s="9"/>
      <c r="E248" s="9"/>
      <c r="F248" s="9"/>
      <c r="G248" s="55"/>
      <c r="H248" s="9"/>
      <c r="I248" s="55"/>
      <c r="J248" s="9"/>
    </row>
    <row r="249" spans="1:10" ht="15" customHeight="1" x14ac:dyDescent="0.2">
      <c r="A249" s="9"/>
      <c r="B249" s="9"/>
      <c r="C249" s="9"/>
      <c r="D249" s="9"/>
      <c r="E249" s="9"/>
      <c r="F249" s="9"/>
      <c r="G249" s="55"/>
      <c r="H249" s="9"/>
      <c r="I249" s="55"/>
      <c r="J249" s="9"/>
    </row>
    <row r="250" spans="1:10" ht="15" customHeight="1" x14ac:dyDescent="0.2">
      <c r="A250" s="9"/>
      <c r="B250" s="9"/>
      <c r="C250" s="9"/>
      <c r="D250" s="9"/>
      <c r="E250" s="9"/>
      <c r="F250" s="9"/>
      <c r="G250" s="55"/>
      <c r="H250" s="9"/>
      <c r="I250" s="55"/>
      <c r="J250" s="9"/>
    </row>
    <row r="251" spans="1:10" ht="15" customHeight="1" x14ac:dyDescent="0.2">
      <c r="A251" s="9"/>
      <c r="B251" s="9"/>
      <c r="C251" s="9"/>
      <c r="D251" s="9"/>
      <c r="E251" s="9"/>
      <c r="F251" s="9"/>
      <c r="G251" s="55"/>
      <c r="H251" s="9"/>
      <c r="I251" s="55"/>
      <c r="J251" s="9"/>
    </row>
    <row r="252" spans="1:10" ht="15" customHeight="1" x14ac:dyDescent="0.2">
      <c r="A252" s="9"/>
      <c r="B252" s="9"/>
      <c r="C252" s="9"/>
      <c r="D252" s="9"/>
      <c r="E252" s="9"/>
      <c r="F252" s="9"/>
      <c r="G252" s="55"/>
      <c r="H252" s="9"/>
      <c r="I252" s="55"/>
      <c r="J252" s="9"/>
    </row>
    <row r="253" spans="1:10" ht="15" customHeight="1" x14ac:dyDescent="0.2">
      <c r="A253" s="9"/>
      <c r="B253" s="9"/>
      <c r="C253" s="9"/>
      <c r="D253" s="9"/>
      <c r="E253" s="9"/>
      <c r="F253" s="9"/>
      <c r="G253" s="55"/>
      <c r="H253" s="9"/>
      <c r="I253" s="55"/>
      <c r="J253" s="9"/>
    </row>
    <row r="254" spans="1:10" ht="15" customHeight="1" x14ac:dyDescent="0.2">
      <c r="A254" s="9"/>
      <c r="B254" s="9"/>
      <c r="C254" s="9"/>
      <c r="D254" s="9"/>
      <c r="E254" s="9"/>
      <c r="F254" s="9"/>
      <c r="G254" s="55"/>
      <c r="H254" s="9"/>
      <c r="I254" s="55"/>
      <c r="J254" s="9"/>
    </row>
    <row r="255" spans="1:10" ht="15" customHeight="1" x14ac:dyDescent="0.2">
      <c r="A255" s="9"/>
      <c r="B255" s="9"/>
      <c r="C255" s="9"/>
      <c r="D255" s="9"/>
      <c r="E255" s="9"/>
      <c r="F255" s="9"/>
      <c r="G255" s="55"/>
      <c r="H255" s="9"/>
      <c r="I255" s="55"/>
      <c r="J255" s="9"/>
    </row>
    <row r="256" spans="1:10" ht="15" customHeight="1" x14ac:dyDescent="0.2">
      <c r="A256" s="9"/>
      <c r="B256" s="9"/>
      <c r="C256" s="9"/>
      <c r="D256" s="9"/>
      <c r="E256" s="9"/>
      <c r="F256" s="9"/>
      <c r="G256" s="55"/>
      <c r="H256" s="9"/>
      <c r="I256" s="55"/>
      <c r="J256" s="9"/>
    </row>
    <row r="257" spans="1:10" ht="15" customHeight="1" x14ac:dyDescent="0.2">
      <c r="A257" s="9"/>
      <c r="B257" s="9"/>
      <c r="C257" s="9"/>
      <c r="D257" s="9"/>
      <c r="E257" s="9"/>
      <c r="F257" s="9"/>
      <c r="G257" s="55"/>
      <c r="H257" s="9"/>
      <c r="I257" s="55"/>
      <c r="J257" s="9"/>
    </row>
    <row r="258" spans="1:10" ht="15" customHeight="1" x14ac:dyDescent="0.2">
      <c r="A258" s="9"/>
      <c r="B258" s="9"/>
      <c r="C258" s="9"/>
      <c r="D258" s="9"/>
      <c r="E258" s="9"/>
      <c r="F258" s="9"/>
      <c r="G258" s="55"/>
      <c r="H258" s="9"/>
      <c r="I258" s="55"/>
      <c r="J258" s="9"/>
    </row>
    <row r="259" spans="1:10" ht="15" customHeight="1" x14ac:dyDescent="0.2">
      <c r="A259" s="9"/>
      <c r="B259" s="9"/>
      <c r="C259" s="9"/>
      <c r="D259" s="9"/>
      <c r="E259" s="9"/>
      <c r="F259" s="9"/>
      <c r="G259" s="55"/>
      <c r="H259" s="9"/>
      <c r="I259" s="55"/>
      <c r="J259" s="9"/>
    </row>
    <row r="260" spans="1:10" ht="15" customHeight="1" x14ac:dyDescent="0.2">
      <c r="A260" s="9"/>
      <c r="B260" s="9"/>
      <c r="C260" s="9"/>
      <c r="D260" s="9"/>
      <c r="E260" s="9"/>
      <c r="F260" s="9"/>
      <c r="G260" s="55"/>
      <c r="H260" s="9"/>
      <c r="I260" s="55"/>
      <c r="J260" s="9"/>
    </row>
    <row r="261" spans="1:10" ht="15" customHeight="1" x14ac:dyDescent="0.2">
      <c r="A261" s="9"/>
      <c r="B261" s="9"/>
      <c r="C261" s="9"/>
      <c r="D261" s="9"/>
      <c r="E261" s="9"/>
      <c r="F261" s="9"/>
      <c r="G261" s="55"/>
      <c r="H261" s="9"/>
      <c r="I261" s="55"/>
      <c r="J261" s="9"/>
    </row>
    <row r="262" spans="1:10" ht="15" customHeight="1" x14ac:dyDescent="0.2">
      <c r="A262" s="9"/>
      <c r="B262" s="9"/>
      <c r="C262" s="9"/>
      <c r="D262" s="9"/>
      <c r="E262" s="9"/>
      <c r="F262" s="9"/>
      <c r="G262" s="9"/>
      <c r="H262" s="9"/>
      <c r="I262" s="9"/>
      <c r="J262" s="9"/>
    </row>
    <row r="263" spans="1:10" ht="15" customHeight="1" x14ac:dyDescent="0.2">
      <c r="A263" s="9"/>
      <c r="B263" s="9"/>
      <c r="C263" s="9"/>
      <c r="D263" s="9"/>
      <c r="E263" s="9"/>
      <c r="F263" s="9"/>
      <c r="G263" s="9"/>
      <c r="H263" s="9"/>
      <c r="I263" s="9"/>
      <c r="J263" s="9"/>
    </row>
    <row r="264" spans="1:10" ht="15" customHeight="1" x14ac:dyDescent="0.2">
      <c r="A264" s="9"/>
      <c r="B264" s="9"/>
      <c r="C264" s="9"/>
      <c r="D264" s="9"/>
      <c r="E264" s="9"/>
      <c r="F264" s="9"/>
      <c r="G264" s="9"/>
      <c r="H264" s="9"/>
      <c r="I264" s="9"/>
      <c r="J264" s="9"/>
    </row>
    <row r="265" spans="1:10" ht="15" customHeight="1" x14ac:dyDescent="0.2">
      <c r="A265" s="9"/>
      <c r="B265" s="9"/>
      <c r="C265" s="9"/>
      <c r="D265" s="9"/>
      <c r="E265" s="9"/>
      <c r="F265" s="9"/>
      <c r="G265" s="9"/>
      <c r="H265" s="9"/>
      <c r="I265" s="9"/>
      <c r="J265" s="9"/>
    </row>
    <row r="266" spans="1:10" ht="15" customHeight="1" x14ac:dyDescent="0.2">
      <c r="A266" s="9"/>
      <c r="B266" s="9"/>
      <c r="C266" s="9"/>
      <c r="D266" s="9"/>
      <c r="E266" s="9"/>
      <c r="F266" s="9"/>
      <c r="G266" s="9"/>
      <c r="H266" s="9"/>
      <c r="I266" s="9"/>
      <c r="J266" s="9"/>
    </row>
    <row r="267" spans="1:10" ht="15" customHeight="1" x14ac:dyDescent="0.2">
      <c r="A267" s="9"/>
      <c r="B267" s="9"/>
      <c r="C267" s="9"/>
      <c r="D267" s="9"/>
      <c r="E267" s="9"/>
      <c r="F267" s="9"/>
      <c r="G267" s="9"/>
      <c r="H267" s="9"/>
      <c r="I267" s="9"/>
      <c r="J267" s="9"/>
    </row>
  </sheetData>
  <sortState xmlns:xlrd2="http://schemas.microsoft.com/office/spreadsheetml/2017/richdata2" ref="A114:J122">
    <sortCondition ref="B114:B122"/>
  </sortState>
  <dataConsolidate/>
  <mergeCells count="212">
    <mergeCell ref="B124:C124"/>
    <mergeCell ref="A210:J210"/>
    <mergeCell ref="A211:J211"/>
    <mergeCell ref="B116:C116"/>
    <mergeCell ref="A112:C113"/>
    <mergeCell ref="B89:J89"/>
    <mergeCell ref="B114:C114"/>
    <mergeCell ref="B115:C115"/>
    <mergeCell ref="B108:E108"/>
    <mergeCell ref="B100:E100"/>
    <mergeCell ref="B101:E101"/>
    <mergeCell ref="D112:D113"/>
    <mergeCell ref="B122:C122"/>
    <mergeCell ref="B96:E96"/>
    <mergeCell ref="A126:J126"/>
    <mergeCell ref="B123:C123"/>
    <mergeCell ref="B103:E103"/>
    <mergeCell ref="B104:E104"/>
    <mergeCell ref="B106:E106"/>
    <mergeCell ref="B109:E109"/>
    <mergeCell ref="B121:C121"/>
    <mergeCell ref="B117:C117"/>
    <mergeCell ref="B118:C118"/>
    <mergeCell ref="B119:C119"/>
    <mergeCell ref="B120:C120"/>
    <mergeCell ref="A125:J125"/>
    <mergeCell ref="A48:J48"/>
    <mergeCell ref="B102:E102"/>
    <mergeCell ref="B90:I90"/>
    <mergeCell ref="B91:I91"/>
    <mergeCell ref="B92:I92"/>
    <mergeCell ref="B83:I83"/>
    <mergeCell ref="B84:I84"/>
    <mergeCell ref="B85:I85"/>
    <mergeCell ref="B86:I86"/>
    <mergeCell ref="B87:I87"/>
    <mergeCell ref="B99:E99"/>
    <mergeCell ref="B97:E97"/>
    <mergeCell ref="B98:E98"/>
    <mergeCell ref="B81:I81"/>
    <mergeCell ref="B82:I82"/>
    <mergeCell ref="B95:E95"/>
    <mergeCell ref="B60:I60"/>
    <mergeCell ref="A52:I52"/>
    <mergeCell ref="B50:I50"/>
    <mergeCell ref="B51:I51"/>
    <mergeCell ref="B55:I55"/>
    <mergeCell ref="B56:I56"/>
    <mergeCell ref="B57:I57"/>
    <mergeCell ref="A143:J143"/>
    <mergeCell ref="A63:I63"/>
    <mergeCell ref="A61:I61"/>
    <mergeCell ref="A71:I71"/>
    <mergeCell ref="A65:J65"/>
    <mergeCell ref="B66:I66"/>
    <mergeCell ref="B67:I67"/>
    <mergeCell ref="B68:I68"/>
    <mergeCell ref="B69:H69"/>
    <mergeCell ref="B70:I70"/>
    <mergeCell ref="B74:I74"/>
    <mergeCell ref="B75:I75"/>
    <mergeCell ref="B76:I76"/>
    <mergeCell ref="B77:I77"/>
    <mergeCell ref="A94:J94"/>
    <mergeCell ref="B78:I78"/>
    <mergeCell ref="B79:I79"/>
    <mergeCell ref="B80:I80"/>
    <mergeCell ref="A73:J73"/>
    <mergeCell ref="A111:J111"/>
    <mergeCell ref="E112:G112"/>
    <mergeCell ref="H112:J112"/>
    <mergeCell ref="B105:E105"/>
    <mergeCell ref="B107:E107"/>
    <mergeCell ref="A1:J1"/>
    <mergeCell ref="A2:E2"/>
    <mergeCell ref="A27:J27"/>
    <mergeCell ref="A11:E11"/>
    <mergeCell ref="A12:E12"/>
    <mergeCell ref="A3:E3"/>
    <mergeCell ref="A4:E4"/>
    <mergeCell ref="A6:E6"/>
    <mergeCell ref="A7:E7"/>
    <mergeCell ref="A14:E14"/>
    <mergeCell ref="F2:J2"/>
    <mergeCell ref="F3:J3"/>
    <mergeCell ref="F8:J8"/>
    <mergeCell ref="F9:J9"/>
    <mergeCell ref="F10:J10"/>
    <mergeCell ref="F11:J11"/>
    <mergeCell ref="F12:J12"/>
    <mergeCell ref="G6:J6"/>
    <mergeCell ref="A10:E10"/>
    <mergeCell ref="G14:J14"/>
    <mergeCell ref="B58:I58"/>
    <mergeCell ref="B59:I59"/>
    <mergeCell ref="B45:I45"/>
    <mergeCell ref="C144:F144"/>
    <mergeCell ref="C145:F145"/>
    <mergeCell ref="C191:F191"/>
    <mergeCell ref="C192:F192"/>
    <mergeCell ref="C193:F193"/>
    <mergeCell ref="C194:F194"/>
    <mergeCell ref="C195:F195"/>
    <mergeCell ref="C196:F196"/>
    <mergeCell ref="C197:F197"/>
    <mergeCell ref="C146:F146"/>
    <mergeCell ref="C147:F147"/>
    <mergeCell ref="C148:F148"/>
    <mergeCell ref="C149:F149"/>
    <mergeCell ref="C150:F150"/>
    <mergeCell ref="C151:F151"/>
    <mergeCell ref="C152:F152"/>
    <mergeCell ref="C153:F153"/>
    <mergeCell ref="C154:F154"/>
    <mergeCell ref="C155:F155"/>
    <mergeCell ref="C156:F156"/>
    <mergeCell ref="C157:F157"/>
    <mergeCell ref="C158:F158"/>
    <mergeCell ref="C159:F159"/>
    <mergeCell ref="C160:F160"/>
    <mergeCell ref="B133:H133"/>
    <mergeCell ref="B134:H134"/>
    <mergeCell ref="B135:H135"/>
    <mergeCell ref="B136:H136"/>
    <mergeCell ref="B137:H137"/>
    <mergeCell ref="B138:H138"/>
    <mergeCell ref="B139:H139"/>
    <mergeCell ref="B141:H141"/>
    <mergeCell ref="B132:H132"/>
    <mergeCell ref="B140:H140"/>
    <mergeCell ref="B127:H127"/>
    <mergeCell ref="B128:H128"/>
    <mergeCell ref="B129:H129"/>
    <mergeCell ref="B130:H130"/>
    <mergeCell ref="B131:H131"/>
    <mergeCell ref="A31:I31"/>
    <mergeCell ref="A35:I35"/>
    <mergeCell ref="A37:J37"/>
    <mergeCell ref="B17:I17"/>
    <mergeCell ref="B18:I18"/>
    <mergeCell ref="B19:I19"/>
    <mergeCell ref="B20:I20"/>
    <mergeCell ref="B21:I21"/>
    <mergeCell ref="B22:I22"/>
    <mergeCell ref="B23:I23"/>
    <mergeCell ref="B24:I24"/>
    <mergeCell ref="B28:I28"/>
    <mergeCell ref="B29:I29"/>
    <mergeCell ref="B30:I30"/>
    <mergeCell ref="A25:I25"/>
    <mergeCell ref="A54:J54"/>
    <mergeCell ref="B49:I49"/>
    <mergeCell ref="A46:I46"/>
    <mergeCell ref="B44:I44"/>
    <mergeCell ref="A5:E5"/>
    <mergeCell ref="F5:J5"/>
    <mergeCell ref="F4:J4"/>
    <mergeCell ref="F7:J7"/>
    <mergeCell ref="B39:I39"/>
    <mergeCell ref="B40:I40"/>
    <mergeCell ref="B41:I41"/>
    <mergeCell ref="B42:I42"/>
    <mergeCell ref="B43:I43"/>
    <mergeCell ref="A8:E8"/>
    <mergeCell ref="A9:E9"/>
    <mergeCell ref="A13:E13"/>
    <mergeCell ref="F13:J13"/>
    <mergeCell ref="A33:J33"/>
    <mergeCell ref="A16:I16"/>
    <mergeCell ref="B38:I38"/>
    <mergeCell ref="B34:I34"/>
    <mergeCell ref="C161:F161"/>
    <mergeCell ref="C162:F162"/>
    <mergeCell ref="C163:F163"/>
    <mergeCell ref="C164:F164"/>
    <mergeCell ref="C165:F165"/>
    <mergeCell ref="C166:F166"/>
    <mergeCell ref="C167:F167"/>
    <mergeCell ref="C168:F168"/>
    <mergeCell ref="C169:F169"/>
    <mergeCell ref="C170:F170"/>
    <mergeCell ref="C171:F171"/>
    <mergeCell ref="C172:F172"/>
    <mergeCell ref="C173:F173"/>
    <mergeCell ref="C174:F174"/>
    <mergeCell ref="C175:F175"/>
    <mergeCell ref="C176:F176"/>
    <mergeCell ref="C177:F177"/>
    <mergeCell ref="C178:F178"/>
    <mergeCell ref="C179:F179"/>
    <mergeCell ref="C180:F180"/>
    <mergeCell ref="C181:F181"/>
    <mergeCell ref="C182:F182"/>
    <mergeCell ref="C183:F183"/>
    <mergeCell ref="C184:F184"/>
    <mergeCell ref="C185:F185"/>
    <mergeCell ref="C186:F186"/>
    <mergeCell ref="C187:F187"/>
    <mergeCell ref="C188:F188"/>
    <mergeCell ref="C189:F189"/>
    <mergeCell ref="C190:F190"/>
    <mergeCell ref="C207:F207"/>
    <mergeCell ref="C208:F208"/>
    <mergeCell ref="C198:F198"/>
    <mergeCell ref="C199:F199"/>
    <mergeCell ref="C200:F200"/>
    <mergeCell ref="C201:F201"/>
    <mergeCell ref="C202:F202"/>
    <mergeCell ref="C203:F203"/>
    <mergeCell ref="C204:F204"/>
    <mergeCell ref="C205:F205"/>
    <mergeCell ref="C206:F206"/>
  </mergeCells>
  <conditionalFormatting sqref="B123:B124">
    <cfRule type="cellIs" dxfId="12" priority="1" operator="greaterThan">
      <formula>0</formula>
    </cfRule>
  </conditionalFormatting>
  <conditionalFormatting sqref="E114:E124">
    <cfRule type="cellIs" dxfId="11" priority="5" operator="greaterThan">
      <formula>0</formula>
    </cfRule>
  </conditionalFormatting>
  <conditionalFormatting sqref="F4:F5 G6 J145:J208">
    <cfRule type="cellIs" dxfId="10" priority="91" operator="greaterThan">
      <formula>0</formula>
    </cfRule>
  </conditionalFormatting>
  <conditionalFormatting sqref="F4:F5 J90:J92 J128:J134 J136:J139 G145:G208 I145:I208">
    <cfRule type="cellIs" dxfId="9" priority="90" operator="greaterThan">
      <formula>0</formula>
    </cfRule>
  </conditionalFormatting>
  <conditionalFormatting sqref="F4:F7">
    <cfRule type="notContainsBlanks" dxfId="8" priority="93">
      <formula>LEN(TRIM(F4))&gt;0</formula>
    </cfRule>
  </conditionalFormatting>
  <conditionalFormatting sqref="F8:F14">
    <cfRule type="cellIs" dxfId="7" priority="7" operator="greaterThan">
      <formula>0</formula>
    </cfRule>
    <cfRule type="cellIs" dxfId="6" priority="8" operator="greaterThan">
      <formula>0</formula>
    </cfRule>
  </conditionalFormatting>
  <conditionalFormatting sqref="F96:F109">
    <cfRule type="cellIs" dxfId="5" priority="6" operator="greaterThan">
      <formula>0</formula>
    </cfRule>
  </conditionalFormatting>
  <conditionalFormatting sqref="F114 F118 F122">
    <cfRule type="cellIs" dxfId="4" priority="4" operator="greaterThan">
      <formula>0</formula>
    </cfRule>
  </conditionalFormatting>
  <conditionalFormatting sqref="H114:H124">
    <cfRule type="cellIs" dxfId="3" priority="9" operator="greaterThan">
      <formula>0</formula>
    </cfRule>
  </conditionalFormatting>
  <conditionalFormatting sqref="I114 I118 I122">
    <cfRule type="cellIs" dxfId="2" priority="3" operator="greaterThan">
      <formula>0</formula>
    </cfRule>
  </conditionalFormatting>
  <conditionalFormatting sqref="I128:I141">
    <cfRule type="cellIs" dxfId="1" priority="2" operator="greaterThan">
      <formula>0</formula>
    </cfRule>
  </conditionalFormatting>
  <dataValidations count="5">
    <dataValidation type="decimal" operator="greaterThanOrEqual" allowBlank="1" showInputMessage="1" showErrorMessage="1" sqref="J69 F8:F14 G145:J208" xr:uid="{00000000-0002-0000-0200-000000000000}">
      <formula1>0</formula1>
    </dataValidation>
    <dataValidation operator="greaterThanOrEqual" allowBlank="1" showInputMessage="1" showErrorMessage="1" sqref="G14" xr:uid="{00000000-0002-0000-0200-000001000000}"/>
    <dataValidation type="list" showInputMessage="1" showErrorMessage="1" sqref="F7" xr:uid="{00000000-0002-0000-0200-000002000000}">
      <formula1>$N$1:$N$3</formula1>
    </dataValidation>
    <dataValidation type="list" operator="greaterThan" allowBlank="1" showInputMessage="1" showErrorMessage="1" sqref="F6" xr:uid="{00000000-0002-0000-0200-000003000000}">
      <formula1>$M$1:$M$2</formula1>
    </dataValidation>
    <dataValidation operator="greaterThan" allowBlank="1" showInputMessage="1" showErrorMessage="1" sqref="G6" xr:uid="{00000000-0002-0000-0200-000004000000}"/>
  </dataValidations>
  <pageMargins left="0.6692913385826772" right="0.15748031496062992" top="0.43307086614173229" bottom="0.31496062992125984" header="0.23622047244094491" footer="0.11811023622047245"/>
  <pageSetup paperSize="9" scale="65" fitToHeight="2" orientation="portrait" r:id="rId1"/>
  <headerFooter>
    <oddHeader>&amp;C&amp;"-,Negrito"PLANILHA DE COMPOSIÇÃO DE CUSTOS</oddHeader>
    <oddFooter>&amp;R&amp;8&amp;P/&amp;N</oddFooter>
  </headerFooter>
  <rowBreaks count="1" manualBreakCount="1">
    <brk id="88" max="9" man="1"/>
  </rowBreaks>
  <ignoredErrors>
    <ignoredError sqref="F97:F99 F100:F102 F108 F105 F107 F109 F104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MI1287"/>
  <sheetViews>
    <sheetView showGridLines="0" zoomScaleNormal="100" workbookViewId="0">
      <pane xSplit="11" ySplit="2" topLeftCell="L3" activePane="bottomRight" state="frozen"/>
      <selection pane="topRight" activeCell="L1" sqref="L1"/>
      <selection pane="bottomLeft" activeCell="A3" sqref="A3"/>
      <selection pane="bottomRight" activeCell="L3" sqref="L3"/>
    </sheetView>
  </sheetViews>
  <sheetFormatPr defaultColWidth="9.140625" defaultRowHeight="12" x14ac:dyDescent="0.25"/>
  <cols>
    <col min="1" max="1" width="8.140625" style="6" customWidth="1"/>
    <col min="2" max="2" width="9.7109375" style="183" bestFit="1" customWidth="1"/>
    <col min="3" max="3" width="24.7109375" style="6" bestFit="1" customWidth="1"/>
    <col min="4" max="4" width="9.7109375" style="187" bestFit="1" customWidth="1"/>
    <col min="5" max="5" width="6.7109375" style="6" bestFit="1" customWidth="1"/>
    <col min="6" max="6" width="39.140625" style="28" customWidth="1"/>
    <col min="7" max="8" width="8.7109375" style="28" customWidth="1"/>
    <col min="9" max="9" width="8.7109375" style="145" customWidth="1"/>
    <col min="10" max="10" width="8.7109375" style="28" customWidth="1"/>
    <col min="11" max="12" width="10" style="28" customWidth="1"/>
    <col min="13" max="13" width="13.85546875" style="29" customWidth="1"/>
    <col min="14" max="14" width="10.28515625" style="29" customWidth="1"/>
    <col min="15" max="15" width="10.85546875" style="29" bestFit="1" customWidth="1"/>
    <col min="16" max="16" width="9.140625" style="29" customWidth="1"/>
    <col min="17" max="17" width="8.28515625" style="29" customWidth="1"/>
    <col min="18" max="18" width="8.7109375" style="29" bestFit="1" customWidth="1"/>
    <col min="19" max="19" width="10.28515625" style="30" customWidth="1"/>
    <col min="20" max="20" width="7.42578125" style="30" customWidth="1"/>
    <col min="21" max="22" width="10.85546875" style="30" customWidth="1"/>
    <col min="23" max="23" width="7.28515625" style="30" customWidth="1"/>
    <col min="24" max="24" width="12.7109375" style="25" customWidth="1"/>
    <col min="25" max="25" width="2.28515625" style="25" customWidth="1"/>
    <col min="26" max="26" width="11" style="25" customWidth="1"/>
    <col min="27" max="27" width="9.7109375" style="25" customWidth="1"/>
    <col min="28" max="28" width="1.28515625" style="25" customWidth="1"/>
    <col min="29" max="30" width="9.7109375" style="25" customWidth="1"/>
    <col min="31" max="31" width="11" style="25" hidden="1" customWidth="1"/>
    <col min="32" max="32" width="10.140625" style="25" bestFit="1" customWidth="1"/>
    <col min="33" max="33" width="12.5703125" style="25" customWidth="1"/>
    <col min="34" max="34" width="10" style="25" bestFit="1" customWidth="1"/>
    <col min="35" max="347" width="9.140625" style="25"/>
    <col min="348" max="16384" width="9.140625" style="6"/>
  </cols>
  <sheetData>
    <row r="1" spans="1:347" ht="12" customHeight="1" x14ac:dyDescent="0.25">
      <c r="A1" s="446" t="s">
        <v>150</v>
      </c>
      <c r="B1" s="446" t="s">
        <v>159</v>
      </c>
      <c r="C1" s="446" t="s">
        <v>160</v>
      </c>
      <c r="D1" s="446" t="s">
        <v>161</v>
      </c>
      <c r="E1" s="446" t="s">
        <v>99</v>
      </c>
      <c r="F1" s="446" t="s">
        <v>162</v>
      </c>
      <c r="G1" s="434" t="s">
        <v>163</v>
      </c>
      <c r="H1" s="434" t="s">
        <v>164</v>
      </c>
      <c r="I1" s="455" t="s">
        <v>165</v>
      </c>
      <c r="J1" s="434" t="s">
        <v>166</v>
      </c>
      <c r="K1" s="434" t="s">
        <v>167</v>
      </c>
      <c r="L1" s="434" t="s">
        <v>168</v>
      </c>
      <c r="M1" s="434" t="s">
        <v>169</v>
      </c>
      <c r="N1" s="434" t="s">
        <v>170</v>
      </c>
      <c r="O1" s="434" t="s">
        <v>171</v>
      </c>
      <c r="P1" s="434" t="s">
        <v>172</v>
      </c>
      <c r="Q1" s="434" t="s">
        <v>147</v>
      </c>
      <c r="R1" s="434" t="s">
        <v>173</v>
      </c>
      <c r="S1" s="434" t="s">
        <v>174</v>
      </c>
      <c r="T1" s="434" t="s">
        <v>175</v>
      </c>
      <c r="U1" s="434" t="s">
        <v>176</v>
      </c>
      <c r="V1" s="434" t="s">
        <v>177</v>
      </c>
      <c r="W1" s="434" t="s">
        <v>178</v>
      </c>
      <c r="X1" s="434" t="s">
        <v>179</v>
      </c>
      <c r="Y1" s="75"/>
      <c r="Z1" s="434" t="s">
        <v>180</v>
      </c>
      <c r="AA1" s="434" t="s">
        <v>181</v>
      </c>
      <c r="AC1" s="434" t="s">
        <v>182</v>
      </c>
      <c r="AD1" s="434" t="s">
        <v>183</v>
      </c>
      <c r="AE1" s="434" t="s">
        <v>184</v>
      </c>
      <c r="MI1" s="6"/>
    </row>
    <row r="2" spans="1:347" ht="63" customHeight="1" x14ac:dyDescent="0.25">
      <c r="A2" s="447"/>
      <c r="B2" s="447"/>
      <c r="C2" s="447"/>
      <c r="D2" s="447"/>
      <c r="E2" s="447"/>
      <c r="F2" s="447"/>
      <c r="G2" s="435"/>
      <c r="H2" s="435"/>
      <c r="I2" s="456"/>
      <c r="J2" s="435"/>
      <c r="K2" s="435"/>
      <c r="L2" s="435"/>
      <c r="M2" s="435"/>
      <c r="N2" s="435"/>
      <c r="O2" s="435"/>
      <c r="P2" s="435"/>
      <c r="Q2" s="435"/>
      <c r="R2" s="435"/>
      <c r="S2" s="435"/>
      <c r="T2" s="435"/>
      <c r="U2" s="435"/>
      <c r="V2" s="435"/>
      <c r="W2" s="435"/>
      <c r="X2" s="435"/>
      <c r="Y2" s="75"/>
      <c r="Z2" s="435"/>
      <c r="AA2" s="435"/>
      <c r="AC2" s="435"/>
      <c r="AD2" s="435"/>
      <c r="AE2" s="435"/>
      <c r="AF2" s="31"/>
      <c r="MI2" s="6"/>
    </row>
    <row r="3" spans="1:347" s="26" customFormat="1" ht="24" x14ac:dyDescent="0.25">
      <c r="A3" s="21">
        <v>1</v>
      </c>
      <c r="B3" s="21">
        <f>VLOOKUP($A3,'Indicadores Financeiros'!$A$145:$J$306,2,FALSE)</f>
        <v>328</v>
      </c>
      <c r="C3" s="22" t="str">
        <f>VLOOKUP($A3,'Indicadores Financeiros'!$A$145:$J$306,3,FALSE)</f>
        <v>São Paulo - Palácio da Justiça</v>
      </c>
      <c r="D3" s="353" t="str">
        <f>VLOOKUP($B3,BIP!A:E,5,FALSE)</f>
        <v>São Paulo</v>
      </c>
      <c r="E3" s="74">
        <v>690001</v>
      </c>
      <c r="F3" s="7" t="str">
        <f>VLOOKUP($E3,'Tabela de Códigos e Valores'!$A:$M,2,FALSE)</f>
        <v>Auxiliar de limpeza - diurno - 44 horas semanais (segunda a sexta-feira)</v>
      </c>
      <c r="G3" s="7" t="str">
        <f>VLOOKUP($E3,'Tabela de Códigos e Valores'!$A:$M,5,FALSE)</f>
        <v>Posto</v>
      </c>
      <c r="H3" s="7" t="str">
        <f>VLOOKUP($E3,'Tabela de Códigos e Valores'!$A:$M,6,FALSE)</f>
        <v>Mensal</v>
      </c>
      <c r="I3" s="180">
        <f>VLOOKUP($E3,'Tabela de Códigos e Valores'!$A:$M,7,FALSE)</f>
        <v>21</v>
      </c>
      <c r="J3" s="180">
        <f>VLOOKUP($E3,'Tabela de Códigos e Valores'!$A:$M,8,FALSE)</f>
        <v>0</v>
      </c>
      <c r="K3" s="284">
        <v>1</v>
      </c>
      <c r="L3" s="193">
        <f>IFERROR(VLOOKUP(E3,'Indicadores Financeiros'!$A$90:$J$92,10,FALSE),0)</f>
        <v>0</v>
      </c>
      <c r="M3" s="180">
        <f>VLOOKUP($E3,'Tabela de Códigos e Valores'!$A:$Z,16,FALSE)</f>
        <v>1717.2</v>
      </c>
      <c r="N3" s="180">
        <f>VLOOKUP($E3,'Tabela de Códigos e Valores'!$A:$Z,17,FALSE)</f>
        <v>1337.98</v>
      </c>
      <c r="O3" s="180">
        <f>VLOOKUP($E3,'Tabela de Códigos e Valores'!$A:$AAB,28,FALSE)</f>
        <v>635.36</v>
      </c>
      <c r="P3" s="180">
        <f>ROUND(IF($G3&lt;&gt;"M2",IF(VLOOKUP($E3,'Tabela de Códigos e Valores'!$A:$J,10,FALSE)*6%&gt;=VLOOKUP('Relatório Custo'!$A3,'Indicadores Financeiros'!$A$145:$I$208,9,FALSE)*'Relatório Custo'!I3,0,VLOOKUP('Relatório Custo'!$A3,'Indicadores Financeiros'!$A$145:$I$208,9,FALSE)*'Relatório Custo'!I3-VLOOKUP($E3,'Tabela de Códigos e Valores'!$A:$J,10,FALSE)*6%),0),2)</f>
        <v>127.55</v>
      </c>
      <c r="Q3" s="180">
        <f>VLOOKUP($E3,'Tabela de Códigos e Valores'!$A:$AAC,30,FALSE)</f>
        <v>62.81</v>
      </c>
      <c r="R3" s="180">
        <f>ROUND(ROUND(($M3+$N3+$O3+$P3+$Q3),2)*VLOOKUP($E3,'Tabela de Códigos e Valores'!$A:$AE,31,FALSE)/(1-VLOOKUP($E3,'Tabela de Códigos e Valores'!$A:$AE,31,FALSE)),2)</f>
        <v>529.21</v>
      </c>
      <c r="S3" s="24">
        <f>SUM(L3:R3)</f>
        <v>4410.1100000000006</v>
      </c>
      <c r="T3" s="182">
        <f>VLOOKUP($A3,'Indicadores Financeiros'!$A$145:$J$208,8,FALSE)</f>
        <v>0.27810000000000001</v>
      </c>
      <c r="U3" s="24">
        <f>ROUND(S3*(1+T3),2)</f>
        <v>5636.56</v>
      </c>
      <c r="V3" s="32">
        <f>ROUND(U3*K3,2)</f>
        <v>5636.56</v>
      </c>
      <c r="W3" s="240">
        <f>VLOOKUP($A3,'Indicadores Financeiros'!$A$145:$J$208,10)</f>
        <v>1</v>
      </c>
      <c r="X3" s="64">
        <f>U3*IF(H3="Mensal",('Indicadores Financeiros'!$F$14-W3+1),IF(H3="Trimestral",INT(('Indicadores Financeiros'!$F$14-W3+1)/3),INT(('Indicadores Financeiros'!$F$14-W3+1)/12)))*K3</f>
        <v>169096.80000000002</v>
      </c>
      <c r="Y3" s="75"/>
      <c r="Z3" s="64">
        <f>IF(G3="Posto",M3,0)*K3</f>
        <v>1717.2</v>
      </c>
      <c r="AA3" s="64">
        <f>ROUND('Indicadores Financeiros'!$J$71*$Z3,4)</f>
        <v>549.33230000000003</v>
      </c>
      <c r="AB3" s="25"/>
      <c r="AC3" s="23">
        <f>ROUND(IF(OR($G3="Posto",$G3="Plantão"),$U3/$I3,0),2)</f>
        <v>268.41000000000003</v>
      </c>
      <c r="AD3" s="23">
        <f>ROUND((ROUND(VLOOKUP($E3,'Tabela de Códigos e Valores'!$A:$AB,26,FALSE)/I3,2)+ROUND(P3/I3,2)+ROUND(M3*'Indicadores Financeiros'!$J$61/I3,2)+ROUND(R3/I3,2))*(1+T3),2)</f>
        <v>81.150000000000006</v>
      </c>
      <c r="AE3" s="23">
        <f>IF(G3="posto",IF(OR(E3=690018,E3=690019),'Indicadores Financeiros'!$J$117,IF(OR(E3=690002,E3=690016,E3=690019,E3=690035,E3=690038,E3=690064),'Indicadores Financeiros'!$G$117/2*(1+T3),'Indicadores Financeiros'!$G$117*(1+T3))),0)</f>
        <v>0</v>
      </c>
      <c r="AF3" s="58"/>
      <c r="AG3" s="31"/>
      <c r="AH3" s="273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</row>
    <row r="4" spans="1:347" s="26" customFormat="1" ht="24" x14ac:dyDescent="0.25">
      <c r="A4" s="21">
        <v>1</v>
      </c>
      <c r="B4" s="21">
        <f>VLOOKUP($A4,'Indicadores Financeiros'!$A$145:$J$306,2,FALSE)</f>
        <v>328</v>
      </c>
      <c r="C4" s="22" t="str">
        <f>VLOOKUP($A4,'Indicadores Financeiros'!$A$145:$J$306,3,FALSE)</f>
        <v>São Paulo - Palácio da Justiça</v>
      </c>
      <c r="D4" s="353" t="str">
        <f>VLOOKUP($B4,BIP!A:E,5,FALSE)</f>
        <v>São Paulo</v>
      </c>
      <c r="E4" s="3">
        <v>690002</v>
      </c>
      <c r="F4" s="7" t="str">
        <f>VLOOKUP($E4,'Tabela de Códigos e Valores'!$A:$M,2,FALSE)</f>
        <v>Auxiliar de limpeza - diurno - 24 horas  semanais</v>
      </c>
      <c r="G4" s="7" t="str">
        <f>VLOOKUP($E4,'Tabela de Códigos e Valores'!$A:$M,5,FALSE)</f>
        <v>Posto</v>
      </c>
      <c r="H4" s="7" t="str">
        <f>VLOOKUP($E4,'Tabela de Códigos e Valores'!$A:$M,6,FALSE)</f>
        <v>Mensal</v>
      </c>
      <c r="I4" s="180">
        <f>VLOOKUP($E4,'Tabela de Códigos e Valores'!$A:$M,7,FALSE)</f>
        <v>21</v>
      </c>
      <c r="J4" s="180">
        <f>VLOOKUP($E4,'Tabela de Códigos e Valores'!$A:$M,8,FALSE)</f>
        <v>0</v>
      </c>
      <c r="K4" s="284">
        <v>1</v>
      </c>
      <c r="L4" s="193">
        <f>IFERROR(VLOOKUP(E4,'Indicadores Financeiros'!$A$90:$J$92,10,FALSE),0)</f>
        <v>0</v>
      </c>
      <c r="M4" s="180">
        <f>VLOOKUP($E4,'Tabela de Códigos e Valores'!$A:$Z,16,FALSE)</f>
        <v>1030.32</v>
      </c>
      <c r="N4" s="180">
        <f>VLOOKUP($E4,'Tabela de Códigos e Valores'!$A:$Z,17,FALSE)</f>
        <v>802.79</v>
      </c>
      <c r="O4" s="180">
        <f>VLOOKUP($E4,'Tabela de Códigos e Valores'!$A:$AAB,28,FALSE)</f>
        <v>228.59</v>
      </c>
      <c r="P4" s="180">
        <f>ROUND(IF($G4&lt;&gt;"M2",IF(VLOOKUP($E4,'Tabela de Códigos e Valores'!$A:$J,10,FALSE)*6%&gt;=VLOOKUP('Relatório Custo'!$A4,'Indicadores Financeiros'!$A$145:$I$208,9,FALSE)*'Relatório Custo'!I4,0,VLOOKUP('Relatório Custo'!$A4,'Indicadores Financeiros'!$A$145:$I$208,9,FALSE)*'Relatório Custo'!I4-VLOOKUP($E4,'Tabela de Códigos e Valores'!$A:$J,10,FALSE)*6%),0),2)</f>
        <v>168.76</v>
      </c>
      <c r="Q4" s="180">
        <f>VLOOKUP($E4,'Tabela de Códigos e Valores'!$A:$AAC,30,FALSE)</f>
        <v>62.81</v>
      </c>
      <c r="R4" s="180">
        <f>ROUND(ROUND(($M4+$N4+$O4+$P4+$Q4),2)*VLOOKUP($E4,'Tabela de Códigos e Valores'!$A:$AE,31,FALSE)/(1-VLOOKUP($E4,'Tabela de Códigos e Valores'!$A:$AE,31,FALSE)),2)</f>
        <v>312.72000000000003</v>
      </c>
      <c r="S4" s="24">
        <f t="shared" ref="S4:S67" si="0">SUM(L4:R4)</f>
        <v>2605.9899999999998</v>
      </c>
      <c r="T4" s="182">
        <f>VLOOKUP($A4,'Indicadores Financeiros'!$A$145:$J$208,8,FALSE)</f>
        <v>0.27810000000000001</v>
      </c>
      <c r="U4" s="24">
        <f t="shared" ref="U4:U36" si="1">ROUND(S4*(1+T4),2)</f>
        <v>3330.72</v>
      </c>
      <c r="V4" s="32">
        <f t="shared" ref="V4:V36" si="2">ROUND(U4*K4,2)</f>
        <v>3330.72</v>
      </c>
      <c r="W4" s="240">
        <f>VLOOKUP($A4,'Indicadores Financeiros'!$A$145:$J$208,10)</f>
        <v>1</v>
      </c>
      <c r="X4" s="64">
        <f>U4*IF(H4="Mensal",('Indicadores Financeiros'!$F$14-W4+1),IF(H4="Trimestral",INT(('Indicadores Financeiros'!$F$14-W4+1)/3),INT(('Indicadores Financeiros'!$F$14-W4+1)/12)))*K4</f>
        <v>99921.599999999991</v>
      </c>
      <c r="Y4" s="75"/>
      <c r="Z4" s="64">
        <f t="shared" ref="Z4:Z36" si="3">IF(G4="Posto",M4,0)*K4</f>
        <v>1030.32</v>
      </c>
      <c r="AA4" s="64">
        <f>ROUND('Indicadores Financeiros'!$J$71*$Z4,4)</f>
        <v>329.5994</v>
      </c>
      <c r="AB4" s="25"/>
      <c r="AC4" s="23">
        <f t="shared" ref="AC4:AC72" si="4">ROUND(IF(OR($G4="Posto",$G4="Plantão"),$U4/$I4,0),2)</f>
        <v>158.61000000000001</v>
      </c>
      <c r="AD4" s="23">
        <f>ROUND((ROUND(VLOOKUP($E4,'Tabela de Códigos e Valores'!$A:$AB,26,FALSE)/I4,2)+ROUND(P4/I4,2)+ROUND(M4*'Indicadores Financeiros'!$J$61/I4,2)+ROUND(R4/I4,2))*(1+T4),2)</f>
        <v>39.159999999999997</v>
      </c>
      <c r="AE4" s="23">
        <f>IF(G4="posto",IF(OR(E4=690018,E4=690019),'Indicadores Financeiros'!$J$117,IF(OR(E4=690002,E4=690016,E4=690019,E4=690035,E4=690038,E4=690064),'Indicadores Financeiros'!$G$117/2*(1+T4),'Indicadores Financeiros'!$G$117*(1+T4))),0)</f>
        <v>0</v>
      </c>
      <c r="AF4" s="58"/>
      <c r="AG4" s="31"/>
      <c r="AH4" s="273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</row>
    <row r="5" spans="1:347" s="26" customFormat="1" ht="24" x14ac:dyDescent="0.25">
      <c r="A5" s="21">
        <v>1</v>
      </c>
      <c r="B5" s="21">
        <f>VLOOKUP($A5,'Indicadores Financeiros'!$A$145:$J$306,2,FALSE)</f>
        <v>328</v>
      </c>
      <c r="C5" s="22" t="str">
        <f>VLOOKUP($A5,'Indicadores Financeiros'!$A$145:$J$306,3,FALSE)</f>
        <v>São Paulo - Palácio da Justiça</v>
      </c>
      <c r="D5" s="353" t="str">
        <f>VLOOKUP($B5,BIP!A:E,5,FALSE)</f>
        <v>São Paulo</v>
      </c>
      <c r="E5" s="3">
        <v>690003</v>
      </c>
      <c r="F5" s="7" t="str">
        <f>VLOOKUP($E5,'Tabela de Códigos e Valores'!$A:$M,2,FALSE)</f>
        <v>Auxiliar de limpeza - noturno - 44 horas  semanais</v>
      </c>
      <c r="G5" s="7" t="str">
        <f>VLOOKUP($E5,'Tabela de Códigos e Valores'!$A:$M,5,FALSE)</f>
        <v>Posto</v>
      </c>
      <c r="H5" s="7" t="str">
        <f>VLOOKUP($E5,'Tabela de Códigos e Valores'!$A:$M,6,FALSE)</f>
        <v>Mensal</v>
      </c>
      <c r="I5" s="180">
        <f>VLOOKUP($E5,'Tabela de Códigos e Valores'!$A:$M,7,FALSE)</f>
        <v>21</v>
      </c>
      <c r="J5" s="180">
        <f>VLOOKUP($E5,'Tabela de Códigos e Valores'!$A:$M,8,FALSE)</f>
        <v>0</v>
      </c>
      <c r="K5" s="284">
        <v>1</v>
      </c>
      <c r="L5" s="193">
        <f>IFERROR(VLOOKUP(E5,'Indicadores Financeiros'!$A$90:$J$92,10,FALSE),0)</f>
        <v>0</v>
      </c>
      <c r="M5" s="180">
        <f>VLOOKUP($E5,'Tabela de Códigos e Valores'!$A:$Z,16,FALSE)</f>
        <v>2082.5</v>
      </c>
      <c r="N5" s="180">
        <f>VLOOKUP($E5,'Tabela de Códigos e Valores'!$A:$Z,17,FALSE)</f>
        <v>1622.61</v>
      </c>
      <c r="O5" s="180">
        <f>VLOOKUP($E5,'Tabela de Códigos e Valores'!$A:$AAB,28,FALSE)</f>
        <v>635.36</v>
      </c>
      <c r="P5" s="180">
        <f>ROUND(IF($G5&lt;&gt;"M2",IF(VLOOKUP($E5,'Tabela de Códigos e Valores'!$A:$J,10,FALSE)*6%&gt;=VLOOKUP('Relatório Custo'!$A5,'Indicadores Financeiros'!$A$145:$I$208,9,FALSE)*'Relatório Custo'!I5,0,VLOOKUP('Relatório Custo'!$A5,'Indicadores Financeiros'!$A$145:$I$208,9,FALSE)*'Relatório Custo'!I5-VLOOKUP($E5,'Tabela de Códigos e Valores'!$A:$J,10,FALSE)*6%),0),2)</f>
        <v>127.55</v>
      </c>
      <c r="Q5" s="180">
        <f>VLOOKUP($E5,'Tabela de Códigos e Valores'!$A:$AAC,30,FALSE)</f>
        <v>62.81</v>
      </c>
      <c r="R5" s="180">
        <f>ROUND(ROUND(($M5+$N5+$O5+$P5+$Q5),2)*VLOOKUP($E5,'Tabela de Códigos e Valores'!$A:$AE,31,FALSE)/(1-VLOOKUP($E5,'Tabela de Códigos e Valores'!$A:$AE,31,FALSE)),2)</f>
        <v>617.84</v>
      </c>
      <c r="S5" s="24">
        <f t="shared" si="0"/>
        <v>5148.67</v>
      </c>
      <c r="T5" s="182">
        <f>VLOOKUP($A5,'Indicadores Financeiros'!$A$145:$J$208,8,FALSE)</f>
        <v>0.27810000000000001</v>
      </c>
      <c r="U5" s="24">
        <f t="shared" si="1"/>
        <v>6580.52</v>
      </c>
      <c r="V5" s="32">
        <f t="shared" si="2"/>
        <v>6580.52</v>
      </c>
      <c r="W5" s="240">
        <f>VLOOKUP($A5,'Indicadores Financeiros'!$A$145:$J$208,10)</f>
        <v>1</v>
      </c>
      <c r="X5" s="64">
        <f>U5*IF(H5="Mensal",('Indicadores Financeiros'!$F$14-W5+1),IF(H5="Trimestral",INT(('Indicadores Financeiros'!$F$14-W5+1)/3),INT(('Indicadores Financeiros'!$F$14-W5+1)/12)))*K5</f>
        <v>197415.6</v>
      </c>
      <c r="Y5" s="75"/>
      <c r="Z5" s="64">
        <f t="shared" si="3"/>
        <v>2082.5</v>
      </c>
      <c r="AA5" s="64">
        <f>ROUND('Indicadores Financeiros'!$J$71*$Z5,4)</f>
        <v>666.19179999999994</v>
      </c>
      <c r="AB5" s="25"/>
      <c r="AC5" s="23">
        <f t="shared" si="4"/>
        <v>313.36</v>
      </c>
      <c r="AD5" s="23">
        <f>ROUND((ROUND(VLOOKUP($E5,'Tabela de Códigos e Valores'!$A:$AB,26,FALSE)/I5,2)+ROUND(P5/I5,2)+ROUND(M5*'Indicadores Financeiros'!$J$61/I5,2)+ROUND(R5/I5,2))*(1+T5),2)</f>
        <v>90.04</v>
      </c>
      <c r="AE5" s="23">
        <f>IF(G5="posto",IF(OR(E5=690018,E5=690019),'Indicadores Financeiros'!$J$117,IF(OR(E5=690002,E5=690016,E5=690019,E5=690035,E5=690038,E5=690064),'Indicadores Financeiros'!$G$117/2*(1+T5),'Indicadores Financeiros'!$G$117*(1+T5))),0)</f>
        <v>0</v>
      </c>
      <c r="AF5" s="58"/>
      <c r="AG5" s="31"/>
      <c r="AH5" s="273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</row>
    <row r="6" spans="1:347" s="26" customFormat="1" ht="24" x14ac:dyDescent="0.25">
      <c r="A6" s="21">
        <v>1</v>
      </c>
      <c r="B6" s="21">
        <f>VLOOKUP($A6,'Indicadores Financeiros'!$A$145:$J$306,2,FALSE)</f>
        <v>328</v>
      </c>
      <c r="C6" s="22" t="str">
        <f>VLOOKUP($A6,'Indicadores Financeiros'!$A$145:$J$306,3,FALSE)</f>
        <v>São Paulo - Palácio da Justiça</v>
      </c>
      <c r="D6" s="353" t="str">
        <f>VLOOKUP($B6,BIP!A:E,5,FALSE)</f>
        <v>São Paulo</v>
      </c>
      <c r="E6" s="3">
        <v>690004</v>
      </c>
      <c r="F6" s="7" t="str">
        <f>VLOOKUP($E6,'Tabela de Códigos e Valores'!$A:$M,2,FALSE)</f>
        <v>Serviço de limpeza - plantonista - domingos e feriados (5 horas)</v>
      </c>
      <c r="G6" s="7" t="str">
        <f>VLOOKUP($E6,'Tabela de Códigos e Valores'!$A:$M,5,FALSE)</f>
        <v>Plantão - Dom/Fer</v>
      </c>
      <c r="H6" s="7" t="str">
        <f>VLOOKUP($E6,'Tabela de Códigos e Valores'!$A:$M,6,FALSE)</f>
        <v>Mensal</v>
      </c>
      <c r="I6" s="180">
        <f>VLOOKUP($E6,'Tabela de Códigos e Valores'!$A:$M,7,FALSE)</f>
        <v>6</v>
      </c>
      <c r="J6" s="180">
        <f>VLOOKUP($E6,'Tabela de Códigos e Valores'!$A:$M,8,FALSE)</f>
        <v>30</v>
      </c>
      <c r="K6" s="284">
        <v>1</v>
      </c>
      <c r="L6" s="193">
        <f>IFERROR(VLOOKUP(E6,'Indicadores Financeiros'!$A$90:$J$92,10,FALSE),0)</f>
        <v>0</v>
      </c>
      <c r="M6" s="180">
        <f>VLOOKUP($E6,'Tabela de Códigos e Valores'!$A:$Z,16,FALSE)</f>
        <v>468.29999999999995</v>
      </c>
      <c r="N6" s="180">
        <f>VLOOKUP($E6,'Tabela de Códigos e Valores'!$A:$Z,17,FALSE)</f>
        <v>364.8</v>
      </c>
      <c r="O6" s="180">
        <f>VLOOKUP($E6,'Tabela de Códigos e Valores'!$A:$AAB,28,FALSE)</f>
        <v>116.22</v>
      </c>
      <c r="P6" s="180">
        <f>ROUND(IF($G6&lt;&gt;"M2",IF(VLOOKUP($E6,'Tabela de Códigos e Valores'!$A:$J,10,FALSE)*6%&gt;=VLOOKUP('Relatório Custo'!$A6,'Indicadores Financeiros'!$A$145:$I$208,9,FALSE)*'Relatório Custo'!I6,0,VLOOKUP('Relatório Custo'!$A6,'Indicadores Financeiros'!$A$145:$I$208,9,FALSE)*'Relatório Custo'!I6-VLOOKUP($E6,'Tabela de Códigos e Valores'!$A:$J,10,FALSE)*6%),0),2)</f>
        <v>65.88</v>
      </c>
      <c r="Q6" s="180">
        <f>VLOOKUP($E6,'Tabela de Códigos e Valores'!$A:$AAC,30,FALSE)</f>
        <v>0</v>
      </c>
      <c r="R6" s="180">
        <f>ROUND(ROUND(($M6+$N6+$O6+$P6+$Q6),2)*VLOOKUP($E6,'Tabela de Códigos e Valores'!$A:$AE,31,FALSE)/(1-VLOOKUP($E6,'Tabela de Códigos e Valores'!$A:$AE,31,FALSE)),2)</f>
        <v>0</v>
      </c>
      <c r="S6" s="24">
        <f t="shared" si="0"/>
        <v>1015.1999999999999</v>
      </c>
      <c r="T6" s="182">
        <f>VLOOKUP($A6,'Indicadores Financeiros'!$A$145:$J$208,8,FALSE)</f>
        <v>0.27810000000000001</v>
      </c>
      <c r="U6" s="24">
        <f t="shared" si="1"/>
        <v>1297.53</v>
      </c>
      <c r="V6" s="32">
        <f t="shared" si="2"/>
        <v>1297.53</v>
      </c>
      <c r="W6" s="240">
        <f>VLOOKUP($A6,'Indicadores Financeiros'!$A$145:$J$208,10)</f>
        <v>1</v>
      </c>
      <c r="X6" s="64">
        <f>U6*IF(H6="Mensal",('Indicadores Financeiros'!$F$14-W6+1),IF(H6="Trimestral",INT(('Indicadores Financeiros'!$F$14-W6+1)/3),INT(('Indicadores Financeiros'!$F$14-W6+1)/12)))*K6</f>
        <v>38925.9</v>
      </c>
      <c r="Y6" s="75"/>
      <c r="Z6" s="64">
        <f t="shared" si="3"/>
        <v>0</v>
      </c>
      <c r="AA6" s="64">
        <f>ROUND('Indicadores Financeiros'!$J$71*$Z6,4)</f>
        <v>0</v>
      </c>
      <c r="AB6" s="25"/>
      <c r="AC6" s="23">
        <f>ROUND(IF(OR($G6="Posto",$G6="Plantão - Dom/Fer",$G6="Plantão - Sábado",$G6="Plantão - Recesso"),$U6/$I6,0),2)</f>
        <v>216.26</v>
      </c>
      <c r="AD6" s="23">
        <f>ROUND((ROUND(VLOOKUP($E6,'Tabela de Códigos e Valores'!$A:$AB,26,FALSE)/I6,2)+ROUND(P6/I6,2)+ROUND(M6*'Indicadores Financeiros'!$J$61/I6,2)+ROUND(R6/I6,2))*(1+T6),2)</f>
        <v>54.47</v>
      </c>
      <c r="AE6" s="23">
        <f>IF(G6="posto",IF(OR(E6=690018,E6=690019),'Indicadores Financeiros'!$J$117,IF(OR(E6=690002,E6=690016,E6=690019,E6=690035,E6=690038,E6=690064),'Indicadores Financeiros'!$G$117/2*(1+T6),'Indicadores Financeiros'!$G$117*(1+T6))),0)</f>
        <v>0</v>
      </c>
      <c r="AF6" s="58"/>
      <c r="AG6" s="31"/>
      <c r="AH6" s="273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</row>
    <row r="7" spans="1:347" s="26" customFormat="1" ht="24" x14ac:dyDescent="0.25">
      <c r="A7" s="21">
        <v>1</v>
      </c>
      <c r="B7" s="21">
        <f>VLOOKUP($A7,'Indicadores Financeiros'!$A$145:$J$306,2,FALSE)</f>
        <v>328</v>
      </c>
      <c r="C7" s="22" t="str">
        <f>VLOOKUP($A7,'Indicadores Financeiros'!$A$145:$J$306,3,FALSE)</f>
        <v>São Paulo - Palácio da Justiça</v>
      </c>
      <c r="D7" s="353" t="str">
        <f>VLOOKUP($B7,BIP!A:E,5,FALSE)</f>
        <v>São Paulo</v>
      </c>
      <c r="E7" s="3">
        <v>690013</v>
      </c>
      <c r="F7" s="7" t="str">
        <f>VLOOKUP($E7,'Tabela de Códigos e Valores'!$A:$M,2,FALSE)</f>
        <v>Limpador(a) de vidros - diurno - 44 horas semanais</v>
      </c>
      <c r="G7" s="7" t="str">
        <f>VLOOKUP($E7,'Tabela de Códigos e Valores'!$A:$M,5,FALSE)</f>
        <v>Posto</v>
      </c>
      <c r="H7" s="7" t="str">
        <f>VLOOKUP($E7,'Tabela de Códigos e Valores'!$A:$M,6,FALSE)</f>
        <v>Mensal</v>
      </c>
      <c r="I7" s="180">
        <f>VLOOKUP($E7,'Tabela de Códigos e Valores'!$A:$M,7,FALSE)</f>
        <v>21</v>
      </c>
      <c r="J7" s="180">
        <f>VLOOKUP($E7,'Tabela de Códigos e Valores'!$A:$M,8,FALSE)</f>
        <v>0</v>
      </c>
      <c r="K7" s="284">
        <v>1</v>
      </c>
      <c r="L7" s="193">
        <f>IFERROR(VLOOKUP(E7,'Indicadores Financeiros'!$A$90:$J$92,10,FALSE),0)</f>
        <v>0</v>
      </c>
      <c r="M7" s="180">
        <f>VLOOKUP($E7,'Tabela de Códigos e Valores'!$A:$Z,16,FALSE)</f>
        <v>1882.34</v>
      </c>
      <c r="N7" s="180">
        <f>VLOOKUP($E7,'Tabela de Códigos e Valores'!$A:$Z,17,FALSE)</f>
        <v>1466.65</v>
      </c>
      <c r="O7" s="180">
        <f>VLOOKUP($E7,'Tabela de Códigos e Valores'!$A:$AAB,28,FALSE)</f>
        <v>635.36</v>
      </c>
      <c r="P7" s="180">
        <f>ROUND(IF($G7&lt;&gt;"M2",IF(VLOOKUP($E7,'Tabela de Códigos e Valores'!$A:$J,10,FALSE)*6%&gt;=VLOOKUP('Relatório Custo'!$A7,'Indicadores Financeiros'!$A$145:$I$208,9,FALSE)*'Relatório Custo'!I7,0,VLOOKUP('Relatório Custo'!$A7,'Indicadores Financeiros'!$A$145:$I$208,9,FALSE)*'Relatório Custo'!I7-VLOOKUP($E7,'Tabela de Códigos e Valores'!$A:$J,10,FALSE)*6%),0),2)</f>
        <v>117.64</v>
      </c>
      <c r="Q7" s="180">
        <f>VLOOKUP($E7,'Tabela de Códigos e Valores'!$A:$AAC,30,FALSE)</f>
        <v>107.18</v>
      </c>
      <c r="R7" s="180">
        <f>ROUND(ROUND(($M7+$N7+$O7+$P7+$Q7),2)*VLOOKUP($E7,'Tabela de Códigos e Valores'!$A:$AE,31,FALSE)/(1-VLOOKUP($E7,'Tabela de Códigos e Valores'!$A:$AE,31,FALSE)),2)</f>
        <v>573.98</v>
      </c>
      <c r="S7" s="24">
        <f t="shared" si="0"/>
        <v>4783.1499999999996</v>
      </c>
      <c r="T7" s="182">
        <f>VLOOKUP($A7,'Indicadores Financeiros'!$A$145:$J$208,8,FALSE)</f>
        <v>0.27810000000000001</v>
      </c>
      <c r="U7" s="24">
        <f t="shared" si="1"/>
        <v>6113.34</v>
      </c>
      <c r="V7" s="32">
        <f t="shared" si="2"/>
        <v>6113.34</v>
      </c>
      <c r="W7" s="240">
        <f>VLOOKUP($A7,'Indicadores Financeiros'!$A$145:$J$208,10)</f>
        <v>1</v>
      </c>
      <c r="X7" s="64">
        <f>U7*IF(H7="Mensal",('Indicadores Financeiros'!$F$14-W7+1),IF(H7="Trimestral",INT(('Indicadores Financeiros'!$F$14-W7+1)/3),INT(('Indicadores Financeiros'!$F$14-W7+1)/12)))*K7</f>
        <v>183400.2</v>
      </c>
      <c r="Y7" s="75"/>
      <c r="Z7" s="64">
        <f t="shared" si="3"/>
        <v>1882.34</v>
      </c>
      <c r="AA7" s="64">
        <f>ROUND('Indicadores Financeiros'!$J$71*$Z7,4)</f>
        <v>602.16060000000004</v>
      </c>
      <c r="AB7" s="25"/>
      <c r="AC7" s="23">
        <f t="shared" si="4"/>
        <v>291.11</v>
      </c>
      <c r="AD7" s="23">
        <f>ROUND((ROUND(VLOOKUP($E7,'Tabela de Códigos e Valores'!$A:$AB,26,FALSE)/I7,2)+ROUND(P7/I7,2)+ROUND(M7*'Indicadores Financeiros'!$J$61/I7,2)+ROUND(R7/I7,2))*(1+T7),2)</f>
        <v>84.85</v>
      </c>
      <c r="AE7" s="23">
        <f>IF(G7="posto",IF(OR(E7=690018,E7=690019),'Indicadores Financeiros'!$J$117,IF(OR(E7=690002,E7=690016,E7=690019,E7=690035,E7=690038,E7=690064),'Indicadores Financeiros'!$G$117/2*(1+T7),'Indicadores Financeiros'!$G$117*(1+T7))),0)</f>
        <v>0</v>
      </c>
      <c r="AF7" s="58"/>
      <c r="AG7" s="31"/>
      <c r="AH7" s="273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</row>
    <row r="8" spans="1:347" s="26" customFormat="1" ht="24" x14ac:dyDescent="0.25">
      <c r="A8" s="21">
        <v>1</v>
      </c>
      <c r="B8" s="21">
        <f>VLOOKUP($A8,'Indicadores Financeiros'!$A$145:$J$306,2,FALSE)</f>
        <v>328</v>
      </c>
      <c r="C8" s="22" t="str">
        <f>VLOOKUP($A8,'Indicadores Financeiros'!$A$145:$J$306,3,FALSE)</f>
        <v>São Paulo - Palácio da Justiça</v>
      </c>
      <c r="D8" s="353" t="str">
        <f>VLOOKUP($B8,BIP!A:E,5,FALSE)</f>
        <v>São Paulo</v>
      </c>
      <c r="E8" s="3">
        <v>690014</v>
      </c>
      <c r="F8" s="7" t="str">
        <f>VLOOKUP($E8,'Tabela de Códigos e Valores'!$A:$M,2,FALSE)</f>
        <v>Limpador(a) de vidros - noturno - 44 horas semanais</v>
      </c>
      <c r="G8" s="7" t="str">
        <f>VLOOKUP($E8,'Tabela de Códigos e Valores'!$A:$M,5,FALSE)</f>
        <v>Posto</v>
      </c>
      <c r="H8" s="7" t="str">
        <f>VLOOKUP($E8,'Tabela de Códigos e Valores'!$A:$M,6,FALSE)</f>
        <v>Mensal</v>
      </c>
      <c r="I8" s="180">
        <f>VLOOKUP($E8,'Tabela de Códigos e Valores'!$A:$M,7,FALSE)</f>
        <v>21</v>
      </c>
      <c r="J8" s="180">
        <f>VLOOKUP($E8,'Tabela de Códigos e Valores'!$A:$M,8,FALSE)</f>
        <v>0</v>
      </c>
      <c r="K8" s="284">
        <v>1</v>
      </c>
      <c r="L8" s="193">
        <f>IFERROR(VLOOKUP(E8,'Indicadores Financeiros'!$A$90:$J$92,10,FALSE),0)</f>
        <v>0</v>
      </c>
      <c r="M8" s="180">
        <f>VLOOKUP($E8,'Tabela de Códigos e Valores'!$A:$Z,16,FALSE)</f>
        <v>2402.89</v>
      </c>
      <c r="N8" s="180">
        <f>VLOOKUP($E8,'Tabela de Códigos e Valores'!$A:$Z,17,FALSE)</f>
        <v>1872.25</v>
      </c>
      <c r="O8" s="180">
        <f>VLOOKUP($E8,'Tabela de Códigos e Valores'!$A:$AAB,28,FALSE)</f>
        <v>635.36</v>
      </c>
      <c r="P8" s="180">
        <f>ROUND(IF($G8&lt;&gt;"M2",IF(VLOOKUP($E8,'Tabela de Códigos e Valores'!$A:$J,10,FALSE)*6%&gt;=VLOOKUP('Relatório Custo'!$A8,'Indicadores Financeiros'!$A$145:$I$208,9,FALSE)*'Relatório Custo'!I8,0,VLOOKUP('Relatório Custo'!$A8,'Indicadores Financeiros'!$A$145:$I$208,9,FALSE)*'Relatório Custo'!I8-VLOOKUP($E8,'Tabela de Códigos e Valores'!$A:$J,10,FALSE)*6%),0),2)</f>
        <v>117.64</v>
      </c>
      <c r="Q8" s="180">
        <f>VLOOKUP($E8,'Tabela de Códigos e Valores'!$A:$AAC,30,FALSE)</f>
        <v>107.18</v>
      </c>
      <c r="R8" s="180">
        <f>ROUND(ROUND(($M8+$N8+$O8+$P8+$Q8),2)*VLOOKUP($E8,'Tabela de Códigos e Valores'!$A:$AE,31,FALSE)/(1-VLOOKUP($E8,'Tabela de Códigos e Valores'!$A:$AE,31,FALSE)),2)</f>
        <v>700.27</v>
      </c>
      <c r="S8" s="24">
        <f t="shared" si="0"/>
        <v>5835.59</v>
      </c>
      <c r="T8" s="182">
        <f>VLOOKUP($A8,'Indicadores Financeiros'!$A$145:$J$208,8,FALSE)</f>
        <v>0.27810000000000001</v>
      </c>
      <c r="U8" s="24">
        <f t="shared" si="1"/>
        <v>7458.47</v>
      </c>
      <c r="V8" s="32">
        <f t="shared" si="2"/>
        <v>7458.47</v>
      </c>
      <c r="W8" s="240">
        <f>VLOOKUP($A8,'Indicadores Financeiros'!$A$145:$J$208,10)</f>
        <v>1</v>
      </c>
      <c r="X8" s="64">
        <f>U8*IF(H8="Mensal",('Indicadores Financeiros'!$F$14-W8+1),IF(H8="Trimestral",INT(('Indicadores Financeiros'!$F$14-W8+1)/3),INT(('Indicadores Financeiros'!$F$14-W8+1)/12)))*K8</f>
        <v>223754.1</v>
      </c>
      <c r="Y8" s="75"/>
      <c r="Z8" s="64">
        <f t="shared" si="3"/>
        <v>2402.89</v>
      </c>
      <c r="AA8" s="64">
        <f>ROUND('Indicadores Financeiros'!$J$71*$Z8,4)</f>
        <v>768.68449999999996</v>
      </c>
      <c r="AB8" s="25"/>
      <c r="AC8" s="23">
        <f t="shared" si="4"/>
        <v>355.17</v>
      </c>
      <c r="AD8" s="23">
        <f>ROUND((ROUND(VLOOKUP($E8,'Tabela de Códigos e Valores'!$A:$AB,26,FALSE)/I8,2)+ROUND(P8/I8,2)+ROUND(M8*'Indicadores Financeiros'!$J$61/I8,2)+ROUND(R8/I8,2))*(1+T8),2)</f>
        <v>97.53</v>
      </c>
      <c r="AE8" s="23">
        <f>IF(G8="posto",IF(OR(E8=690018,E8=690019),'Indicadores Financeiros'!$J$117,IF(OR(E8=690002,E8=690016,E8=690019,E8=690035,E8=690038,E8=690064),'Indicadores Financeiros'!$G$117/2*(1+T8),'Indicadores Financeiros'!$G$117*(1+T8))),0)</f>
        <v>0</v>
      </c>
      <c r="AF8" s="58"/>
      <c r="AG8" s="31"/>
      <c r="AH8" s="273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</row>
    <row r="9" spans="1:347" s="26" customFormat="1" ht="24" x14ac:dyDescent="0.25">
      <c r="A9" s="21">
        <v>1</v>
      </c>
      <c r="B9" s="21">
        <f>VLOOKUP($A9,'Indicadores Financeiros'!$A$145:$J$306,2,FALSE)</f>
        <v>328</v>
      </c>
      <c r="C9" s="22" t="str">
        <f>VLOOKUP($A9,'Indicadores Financeiros'!$A$145:$J$306,3,FALSE)</f>
        <v>São Paulo - Palácio da Justiça</v>
      </c>
      <c r="D9" s="353" t="str">
        <f>VLOOKUP($B9,BIP!A:E,5,FALSE)</f>
        <v>São Paulo</v>
      </c>
      <c r="E9" s="3">
        <v>690015</v>
      </c>
      <c r="F9" s="7" t="str">
        <f>VLOOKUP($E9,'Tabela de Códigos e Valores'!$A:$M,2,FALSE)</f>
        <v>Limpador(a) de vidros com exposição à risco - diurno - 44 horas semanais</v>
      </c>
      <c r="G9" s="7" t="str">
        <f>VLOOKUP($E9,'Tabela de Códigos e Valores'!$A:$M,5,FALSE)</f>
        <v>Posto</v>
      </c>
      <c r="H9" s="7" t="str">
        <f>VLOOKUP($E9,'Tabela de Códigos e Valores'!$A:$M,6,FALSE)</f>
        <v>Mensal</v>
      </c>
      <c r="I9" s="180">
        <f>VLOOKUP($E9,'Tabela de Códigos e Valores'!$A:$M,7,FALSE)</f>
        <v>21</v>
      </c>
      <c r="J9" s="180">
        <f>VLOOKUP($E9,'Tabela de Códigos e Valores'!$A:$M,8,FALSE)</f>
        <v>0</v>
      </c>
      <c r="K9" s="284">
        <v>1</v>
      </c>
      <c r="L9" s="193">
        <f>IFERROR(VLOOKUP(E9,'Indicadores Financeiros'!$A$90:$J$92,10,FALSE),0)</f>
        <v>0</v>
      </c>
      <c r="M9" s="180">
        <f>VLOOKUP($E9,'Tabela de Códigos e Valores'!$A:$Z,16,FALSE)</f>
        <v>2447.04</v>
      </c>
      <c r="N9" s="180">
        <f>VLOOKUP($E9,'Tabela de Códigos e Valores'!$A:$Z,17,FALSE)</f>
        <v>1906.65</v>
      </c>
      <c r="O9" s="180">
        <f>VLOOKUP($E9,'Tabela de Códigos e Valores'!$A:$AAB,28,FALSE)</f>
        <v>635.36</v>
      </c>
      <c r="P9" s="180">
        <f>ROUND(IF($G9&lt;&gt;"M2",IF(VLOOKUP($E9,'Tabela de Códigos e Valores'!$A:$J,10,FALSE)*6%&gt;=VLOOKUP('Relatório Custo'!$A9,'Indicadores Financeiros'!$A$145:$I$208,9,FALSE)*'Relatório Custo'!I9,0,VLOOKUP('Relatório Custo'!$A9,'Indicadores Financeiros'!$A$145:$I$208,9,FALSE)*'Relatório Custo'!I9-VLOOKUP($E9,'Tabela de Códigos e Valores'!$A:$J,10,FALSE)*6%),0),2)</f>
        <v>117.64</v>
      </c>
      <c r="Q9" s="180">
        <f>VLOOKUP($E9,'Tabela de Códigos e Valores'!$A:$AAC,30,FALSE)</f>
        <v>107.18</v>
      </c>
      <c r="R9" s="180">
        <f>ROUND(ROUND(($M9+$N9+$O9+$P9+$Q9),2)*VLOOKUP($E9,'Tabela de Códigos e Valores'!$A:$AE,31,FALSE)/(1-VLOOKUP($E9,'Tabela de Códigos e Valores'!$A:$AE,31,FALSE)),2)</f>
        <v>710.98</v>
      </c>
      <c r="S9" s="24">
        <f t="shared" si="0"/>
        <v>5924.85</v>
      </c>
      <c r="T9" s="182">
        <f>VLOOKUP($A9,'Indicadores Financeiros'!$A$145:$J$208,8,FALSE)</f>
        <v>0.27810000000000001</v>
      </c>
      <c r="U9" s="24">
        <f t="shared" si="1"/>
        <v>7572.55</v>
      </c>
      <c r="V9" s="32">
        <f t="shared" si="2"/>
        <v>7572.55</v>
      </c>
      <c r="W9" s="240">
        <f>VLOOKUP($A9,'Indicadores Financeiros'!$A$145:$J$208,10)</f>
        <v>1</v>
      </c>
      <c r="X9" s="64">
        <f>U9*IF(H9="Mensal",('Indicadores Financeiros'!$F$14-W9+1),IF(H9="Trimestral",INT(('Indicadores Financeiros'!$F$14-W9+1)/3),INT(('Indicadores Financeiros'!$F$14-W9+1)/12)))*K9</f>
        <v>227176.5</v>
      </c>
      <c r="Y9" s="75"/>
      <c r="Z9" s="64">
        <f t="shared" si="3"/>
        <v>2447.04</v>
      </c>
      <c r="AA9" s="64">
        <f>ROUND('Indicadores Financeiros'!$J$71*$Z9,4)</f>
        <v>782.80809999999997</v>
      </c>
      <c r="AB9" s="25"/>
      <c r="AC9" s="23">
        <f t="shared" si="4"/>
        <v>360.6</v>
      </c>
      <c r="AD9" s="23">
        <f>ROUND((ROUND(VLOOKUP($E9,'Tabela de Códigos e Valores'!$A:$AB,26,FALSE)/I9,2)+ROUND(P9/I9,2)+ROUND(M9*'Indicadores Financeiros'!$J$61/I9,2)+ROUND(R9/I9,2))*(1+T9),2)</f>
        <v>98.61</v>
      </c>
      <c r="AE9" s="23">
        <f>IF(G9="posto",IF(OR(E9=690018,E9=690019),'Indicadores Financeiros'!$J$117,IF(OR(E9=690002,E9=690016,E9=690019,E9=690035,E9=690038,E9=690064),'Indicadores Financeiros'!$G$117/2*(1+T9),'Indicadores Financeiros'!$G$117*(1+T9))),0)</f>
        <v>0</v>
      </c>
      <c r="AF9" s="58"/>
      <c r="AG9" s="31"/>
      <c r="AH9" s="273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</row>
    <row r="10" spans="1:347" s="26" customFormat="1" ht="24" x14ac:dyDescent="0.25">
      <c r="A10" s="21">
        <v>1</v>
      </c>
      <c r="B10" s="21">
        <f>VLOOKUP($A10,'Indicadores Financeiros'!$A$145:$J$306,2,FALSE)</f>
        <v>328</v>
      </c>
      <c r="C10" s="22" t="str">
        <f>VLOOKUP($A10,'Indicadores Financeiros'!$A$145:$J$306,3,FALSE)</f>
        <v>São Paulo - Palácio da Justiça</v>
      </c>
      <c r="D10" s="353" t="str">
        <f>VLOOKUP($B10,BIP!A:E,5,FALSE)</f>
        <v>São Paulo</v>
      </c>
      <c r="E10" s="3">
        <v>690016</v>
      </c>
      <c r="F10" s="7" t="str">
        <f>VLOOKUP($E10,'Tabela de Códigos e Valores'!$A:$M,2,FALSE)</f>
        <v>Limpador(a) de vidros com exposição à risco - diurno - 24 horas semanais</v>
      </c>
      <c r="G10" s="7" t="str">
        <f>VLOOKUP($E10,'Tabela de Códigos e Valores'!$A:$M,5,FALSE)</f>
        <v>Posto</v>
      </c>
      <c r="H10" s="7" t="str">
        <f>VLOOKUP($E10,'Tabela de Códigos e Valores'!$A:$M,6,FALSE)</f>
        <v>Mensal</v>
      </c>
      <c r="I10" s="180">
        <f>VLOOKUP($E10,'Tabela de Códigos e Valores'!$A:$M,7,FALSE)</f>
        <v>21</v>
      </c>
      <c r="J10" s="180">
        <f>VLOOKUP($E10,'Tabela de Códigos e Valores'!$A:$M,8,FALSE)</f>
        <v>0</v>
      </c>
      <c r="K10" s="284">
        <v>1</v>
      </c>
      <c r="L10" s="193">
        <f>IFERROR(VLOOKUP(E10,'Indicadores Financeiros'!$A$90:$J$92,10,FALSE),0)</f>
        <v>0</v>
      </c>
      <c r="M10" s="180">
        <f>VLOOKUP($E10,'Tabela de Códigos e Valores'!$A:$Z,16,FALSE)</f>
        <v>1468.22</v>
      </c>
      <c r="N10" s="180">
        <f>VLOOKUP($E10,'Tabela de Códigos e Valores'!$A:$Z,17,FALSE)</f>
        <v>1143.99</v>
      </c>
      <c r="O10" s="180">
        <f>VLOOKUP($E10,'Tabela de Códigos e Valores'!$A:$AAB,28,FALSE)</f>
        <v>228.59</v>
      </c>
      <c r="P10" s="180">
        <f>ROUND(IF($G10&lt;&gt;"M2",IF(VLOOKUP($E10,'Tabela de Códigos e Valores'!$A:$J,10,FALSE)*6%&gt;=VLOOKUP('Relatório Custo'!$A10,'Indicadores Financeiros'!$A$145:$I$208,9,FALSE)*'Relatório Custo'!I10,0,VLOOKUP('Relatório Custo'!$A10,'Indicadores Financeiros'!$A$145:$I$208,9,FALSE)*'Relatório Custo'!I10-VLOOKUP($E10,'Tabela de Códigos e Valores'!$A:$J,10,FALSE)*6%),0),2)</f>
        <v>162.82</v>
      </c>
      <c r="Q10" s="180">
        <f>VLOOKUP($E10,'Tabela de Códigos e Valores'!$A:$AAC,30,FALSE)</f>
        <v>107.18</v>
      </c>
      <c r="R10" s="180">
        <f>ROUND(ROUND(($M10+$N10+$O10+$P10+$Q10),2)*VLOOKUP($E10,'Tabela de Códigos e Valores'!$A:$AE,31,FALSE)/(1-VLOOKUP($E10,'Tabela de Códigos e Valores'!$A:$AE,31,FALSE)),2)</f>
        <v>424.2</v>
      </c>
      <c r="S10" s="24">
        <f t="shared" si="0"/>
        <v>3535</v>
      </c>
      <c r="T10" s="182">
        <f>VLOOKUP($A10,'Indicadores Financeiros'!$A$145:$J$208,8,FALSE)</f>
        <v>0.27810000000000001</v>
      </c>
      <c r="U10" s="24">
        <f t="shared" si="1"/>
        <v>4518.08</v>
      </c>
      <c r="V10" s="32">
        <f t="shared" si="2"/>
        <v>4518.08</v>
      </c>
      <c r="W10" s="240">
        <f>VLOOKUP($A10,'Indicadores Financeiros'!$A$145:$J$208,10)</f>
        <v>1</v>
      </c>
      <c r="X10" s="64">
        <f>U10*IF(H10="Mensal",('Indicadores Financeiros'!$F$14-W10+1),IF(H10="Trimestral",INT(('Indicadores Financeiros'!$F$14-W10+1)/3),INT(('Indicadores Financeiros'!$F$14-W10+1)/12)))*K10</f>
        <v>135542.39999999999</v>
      </c>
      <c r="Y10" s="75"/>
      <c r="Z10" s="64">
        <f t="shared" si="3"/>
        <v>1468.22</v>
      </c>
      <c r="AA10" s="64">
        <f>ROUND('Indicadores Financeiros'!$J$71*$Z10,4)</f>
        <v>469.68360000000001</v>
      </c>
      <c r="AB10" s="25"/>
      <c r="AC10" s="23">
        <f t="shared" si="4"/>
        <v>215.15</v>
      </c>
      <c r="AD10" s="23">
        <f>ROUND((ROUND(VLOOKUP($E10,'Tabela de Códigos e Valores'!$A:$AB,26,FALSE)/I10,2)+ROUND(P10/I10,2)+ROUND(M10*'Indicadores Financeiros'!$J$61/I10,2)+ROUND(R10/I10,2))*(1+T10),2)</f>
        <v>49.77</v>
      </c>
      <c r="AE10" s="23">
        <f>IF(G10="posto",IF(OR(E10=690018,E10=690019),'Indicadores Financeiros'!$J$117,IF(OR(E10=690002,E10=690016,E10=690019,E10=690035,E10=690038,E10=690064),'Indicadores Financeiros'!$G$117/2*(1+T10),'Indicadores Financeiros'!$G$117*(1+T10))),0)</f>
        <v>0</v>
      </c>
      <c r="AF10" s="58"/>
      <c r="AG10" s="31"/>
      <c r="AH10" s="273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</row>
    <row r="11" spans="1:347" s="26" customFormat="1" ht="24" x14ac:dyDescent="0.25">
      <c r="A11" s="21">
        <v>1</v>
      </c>
      <c r="B11" s="21">
        <f>VLOOKUP($A11,'Indicadores Financeiros'!$A$145:$J$306,2,FALSE)</f>
        <v>328</v>
      </c>
      <c r="C11" s="22" t="str">
        <f>VLOOKUP($A11,'Indicadores Financeiros'!$A$145:$J$306,3,FALSE)</f>
        <v>São Paulo - Palácio da Justiça</v>
      </c>
      <c r="D11" s="353" t="str">
        <f>VLOOKUP($B11,BIP!A:E,5,FALSE)</f>
        <v>São Paulo</v>
      </c>
      <c r="E11" s="73">
        <v>690017</v>
      </c>
      <c r="F11" s="7" t="str">
        <f>VLOOKUP($E11,'Tabela de Códigos e Valores'!$A:$M,2,FALSE)</f>
        <v>Limpador(a) de vidros com exposição à risco - noturno - 44 horas semanais</v>
      </c>
      <c r="G11" s="7" t="str">
        <f>VLOOKUP($E11,'Tabela de Códigos e Valores'!$A:$M,5,FALSE)</f>
        <v>Posto</v>
      </c>
      <c r="H11" s="7" t="str">
        <f>VLOOKUP($E11,'Tabela de Códigos e Valores'!$A:$M,6,FALSE)</f>
        <v>Mensal</v>
      </c>
      <c r="I11" s="180">
        <f>VLOOKUP($E11,'Tabela de Códigos e Valores'!$A:$M,7,FALSE)</f>
        <v>21</v>
      </c>
      <c r="J11" s="180">
        <f>VLOOKUP($E11,'Tabela de Códigos e Valores'!$A:$M,8,FALSE)</f>
        <v>0</v>
      </c>
      <c r="K11" s="284">
        <v>1</v>
      </c>
      <c r="L11" s="193">
        <f>IFERROR(VLOOKUP(E11,'Indicadores Financeiros'!$A$90:$J$92,10,FALSE),0)</f>
        <v>0</v>
      </c>
      <c r="M11" s="180">
        <f>VLOOKUP($E11,'Tabela de Códigos e Valores'!$A:$Z,16,FALSE)</f>
        <v>2967.59</v>
      </c>
      <c r="N11" s="180">
        <f>VLOOKUP($E11,'Tabela de Códigos e Valores'!$A:$Z,17,FALSE)</f>
        <v>2312.2399999999998</v>
      </c>
      <c r="O11" s="180">
        <f>VLOOKUP($E11,'Tabela de Códigos e Valores'!$A:$AAB,28,FALSE)</f>
        <v>635.36</v>
      </c>
      <c r="P11" s="180">
        <f>ROUND(IF($G11&lt;&gt;"M2",IF(VLOOKUP($E11,'Tabela de Códigos e Valores'!$A:$J,10,FALSE)*6%&gt;=VLOOKUP('Relatório Custo'!$A11,'Indicadores Financeiros'!$A$145:$I$208,9,FALSE)*'Relatório Custo'!I11,0,VLOOKUP('Relatório Custo'!$A11,'Indicadores Financeiros'!$A$145:$I$208,9,FALSE)*'Relatório Custo'!I11-VLOOKUP($E11,'Tabela de Códigos e Valores'!$A:$J,10,FALSE)*6%),0),2)</f>
        <v>117.64</v>
      </c>
      <c r="Q11" s="180">
        <f>VLOOKUP($E11,'Tabela de Códigos e Valores'!$A:$AAC,30,FALSE)</f>
        <v>107.18</v>
      </c>
      <c r="R11" s="180">
        <f>ROUND(ROUND(($M11+$N11+$O11+$P11+$Q11),2)*VLOOKUP($E11,'Tabela de Códigos e Valores'!$A:$AE,31,FALSE)/(1-VLOOKUP($E11,'Tabela de Códigos e Valores'!$A:$AE,31,FALSE)),2)</f>
        <v>837.27</v>
      </c>
      <c r="S11" s="24">
        <f t="shared" si="0"/>
        <v>6977.2800000000007</v>
      </c>
      <c r="T11" s="182">
        <f>VLOOKUP($A11,'Indicadores Financeiros'!$A$145:$J$208,8,FALSE)</f>
        <v>0.27810000000000001</v>
      </c>
      <c r="U11" s="24">
        <f t="shared" si="1"/>
        <v>8917.66</v>
      </c>
      <c r="V11" s="32">
        <f t="shared" si="2"/>
        <v>8917.66</v>
      </c>
      <c r="W11" s="240">
        <f>VLOOKUP($A11,'Indicadores Financeiros'!$A$145:$J$208,10)</f>
        <v>1</v>
      </c>
      <c r="X11" s="64">
        <f>U11*IF(H11="Mensal",('Indicadores Financeiros'!$F$14-W11+1),IF(H11="Trimestral",INT(('Indicadores Financeiros'!$F$14-W11+1)/3),INT(('Indicadores Financeiros'!$F$14-W11+1)/12)))*K11</f>
        <v>267529.8</v>
      </c>
      <c r="Y11" s="75"/>
      <c r="Z11" s="64">
        <f t="shared" si="3"/>
        <v>2967.59</v>
      </c>
      <c r="AA11" s="64">
        <f>ROUND('Indicadores Financeiros'!$J$71*$Z11,4)</f>
        <v>949.33199999999999</v>
      </c>
      <c r="AB11" s="25"/>
      <c r="AC11" s="23">
        <f t="shared" si="4"/>
        <v>424.65</v>
      </c>
      <c r="AD11" s="23">
        <f>ROUND((ROUND(VLOOKUP($E11,'Tabela de Códigos e Valores'!$A:$AB,26,FALSE)/I11,2)+ROUND(P11/I11,2)+ROUND(M11*'Indicadores Financeiros'!$J$61/I11,2)+ROUND(R11/I11,2))*(1+T11),2)</f>
        <v>111.26</v>
      </c>
      <c r="AE11" s="23">
        <f>IF(G11="posto",IF(OR(E11=690018,E11=690019),'Indicadores Financeiros'!$J$117,IF(OR(E11=690002,E11=690016,E11=690019,E11=690035,E11=690038,E11=690064),'Indicadores Financeiros'!$G$117/2*(1+T11),'Indicadores Financeiros'!$G$117*(1+T11))),0)</f>
        <v>0</v>
      </c>
      <c r="AF11" s="58"/>
      <c r="AG11" s="31"/>
      <c r="AH11" s="273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</row>
    <row r="12" spans="1:347" s="26" customFormat="1" x14ac:dyDescent="0.25">
      <c r="A12" s="21">
        <v>1</v>
      </c>
      <c r="B12" s="21">
        <f>VLOOKUP($A12,'Indicadores Financeiros'!$A$145:$J$306,2,FALSE)</f>
        <v>328</v>
      </c>
      <c r="C12" s="22" t="str">
        <f>VLOOKUP($A12,'Indicadores Financeiros'!$A$145:$J$306,3,FALSE)</f>
        <v>São Paulo - Palácio da Justiça</v>
      </c>
      <c r="D12" s="353" t="str">
        <f>VLOOKUP($B12,BIP!A:E,5,FALSE)</f>
        <v>São Paulo</v>
      </c>
      <c r="E12" s="73">
        <v>690018</v>
      </c>
      <c r="F12" s="7" t="str">
        <f>VLOOKUP($E12,'Tabela de Códigos e Valores'!$A:$M,2,FALSE)</f>
        <v>Jardineiro(a) - 44 horas semanais</v>
      </c>
      <c r="G12" s="7" t="str">
        <f>VLOOKUP($E12,'Tabela de Códigos e Valores'!$A:$M,5,FALSE)</f>
        <v>Posto</v>
      </c>
      <c r="H12" s="7" t="str">
        <f>VLOOKUP($E12,'Tabela de Códigos e Valores'!$A:$M,6,FALSE)</f>
        <v>Mensal</v>
      </c>
      <c r="I12" s="180">
        <f>VLOOKUP($E12,'Tabela de Códigos e Valores'!$A:$M,7,FALSE)</f>
        <v>21</v>
      </c>
      <c r="J12" s="180">
        <f>VLOOKUP($E12,'Tabela de Códigos e Valores'!$A:$M,8,FALSE)</f>
        <v>0</v>
      </c>
      <c r="K12" s="284">
        <v>1</v>
      </c>
      <c r="L12" s="193">
        <f>IFERROR(VLOOKUP(E12,'Indicadores Financeiros'!$A$90:$J$92,10,FALSE),0)</f>
        <v>0</v>
      </c>
      <c r="M12" s="180">
        <f>VLOOKUP($E12,'Tabela de Códigos e Valores'!$A:$Z,16,FALSE)</f>
        <v>2078.87</v>
      </c>
      <c r="N12" s="180">
        <f>VLOOKUP($E12,'Tabela de Códigos e Valores'!$A:$Z,17,FALSE)</f>
        <v>1619.78</v>
      </c>
      <c r="O12" s="180">
        <f>VLOOKUP($E12,'Tabela de Códigos e Valores'!$A:$AAB,28,FALSE)</f>
        <v>429.73</v>
      </c>
      <c r="P12" s="180">
        <f>ROUND(IF($G12&lt;&gt;"M2",IF(VLOOKUP($E12,'Tabela de Códigos e Valores'!$A:$J,10,FALSE)*6%&gt;=VLOOKUP('Relatório Custo'!$A12,'Indicadores Financeiros'!$A$145:$I$208,9,FALSE)*'Relatório Custo'!I12,0,VLOOKUP('Relatório Custo'!$A12,'Indicadores Financeiros'!$A$145:$I$208,9,FALSE)*'Relatório Custo'!I12-VLOOKUP($E12,'Tabela de Códigos e Valores'!$A:$J,10,FALSE)*6%),0),2)</f>
        <v>126.64</v>
      </c>
      <c r="Q12" s="180">
        <f>VLOOKUP($E12,'Tabela de Códigos e Valores'!$A:$AAC,30,FALSE)</f>
        <v>108.4</v>
      </c>
      <c r="R12" s="180">
        <f>ROUND(ROUND(($M12+$N12+$O12+$P12+$Q12),2)*VLOOKUP($E12,'Tabela de Códigos e Valores'!$A:$AE,31,FALSE)/(1-VLOOKUP($E12,'Tabela de Códigos e Valores'!$A:$AE,31,FALSE)),2)</f>
        <v>595.01</v>
      </c>
      <c r="S12" s="24">
        <f t="shared" si="0"/>
        <v>4958.4299999999994</v>
      </c>
      <c r="T12" s="182">
        <f>VLOOKUP($A12,'Indicadores Financeiros'!$A$145:$J$208,8,FALSE)</f>
        <v>0.27810000000000001</v>
      </c>
      <c r="U12" s="24">
        <f t="shared" si="1"/>
        <v>6337.37</v>
      </c>
      <c r="V12" s="32">
        <f t="shared" si="2"/>
        <v>6337.37</v>
      </c>
      <c r="W12" s="240">
        <f>VLOOKUP($A12,'Indicadores Financeiros'!$A$145:$J$208,10)</f>
        <v>1</v>
      </c>
      <c r="X12" s="64">
        <f>U12*IF(H12="Mensal",('Indicadores Financeiros'!$F$14-W12+1),IF(H12="Trimestral",INT(('Indicadores Financeiros'!$F$14-W12+1)/3),INT(('Indicadores Financeiros'!$F$14-W12+1)/12)))*K12</f>
        <v>190121.1</v>
      </c>
      <c r="Y12" s="75"/>
      <c r="Z12" s="64">
        <f t="shared" si="3"/>
        <v>2078.87</v>
      </c>
      <c r="AA12" s="64">
        <f>ROUND('Indicadores Financeiros'!$J$71*$Z12,4)</f>
        <v>665.03049999999996</v>
      </c>
      <c r="AB12" s="25"/>
      <c r="AC12" s="23">
        <f t="shared" si="4"/>
        <v>301.77999999999997</v>
      </c>
      <c r="AD12" s="23">
        <f>ROUND((ROUND(VLOOKUP($E12,'Tabela de Códigos e Valores'!$A:$AB,26,FALSE)/I12,2)+ROUND(P12/I12,2)+ROUND(M12*'Indicadores Financeiros'!$J$61/I12,2)+ROUND(R12/I12,2))*(1+T12),2)</f>
        <v>77.989999999999995</v>
      </c>
      <c r="AE12" s="23">
        <f>IF(G12="posto",IF(OR(E12=690018,E12=690019),'Indicadores Financeiros'!$J$117,IF(OR(E12=690002,E12=690016,E12=690019,E12=690035,E12=690038,E12=690064),'Indicadores Financeiros'!$G$117/2*(1+T12),'Indicadores Financeiros'!$G$117*(1+T12))),0)</f>
        <v>0</v>
      </c>
      <c r="AF12" s="58"/>
      <c r="AG12" s="31"/>
      <c r="AH12" s="273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</row>
    <row r="13" spans="1:347" s="26" customFormat="1" x14ac:dyDescent="0.25">
      <c r="A13" s="21">
        <v>1</v>
      </c>
      <c r="B13" s="21">
        <f>VLOOKUP($A13,'Indicadores Financeiros'!$A$145:$J$306,2,FALSE)</f>
        <v>328</v>
      </c>
      <c r="C13" s="22" t="str">
        <f>VLOOKUP($A13,'Indicadores Financeiros'!$A$145:$J$306,3,FALSE)</f>
        <v>São Paulo - Palácio da Justiça</v>
      </c>
      <c r="D13" s="353" t="str">
        <f>VLOOKUP($B13,BIP!A:E,5,FALSE)</f>
        <v>São Paulo</v>
      </c>
      <c r="E13" s="73">
        <v>690019</v>
      </c>
      <c r="F13" s="7" t="str">
        <f>VLOOKUP($E13,'Tabela de Códigos e Valores'!$A:$M,2,FALSE)</f>
        <v>Jardineiro(a) - 24 horas semanais</v>
      </c>
      <c r="G13" s="7" t="str">
        <f>VLOOKUP($E13,'Tabela de Códigos e Valores'!$A:$M,5,FALSE)</f>
        <v>Posto</v>
      </c>
      <c r="H13" s="7" t="str">
        <f>VLOOKUP($E13,'Tabela de Códigos e Valores'!$A:$M,6,FALSE)</f>
        <v>Mensal</v>
      </c>
      <c r="I13" s="180">
        <f>VLOOKUP($E13,'Tabela de Códigos e Valores'!$A:$M,7,FALSE)</f>
        <v>21</v>
      </c>
      <c r="J13" s="180">
        <f>VLOOKUP($E13,'Tabela de Códigos e Valores'!$A:$M,8,FALSE)</f>
        <v>0</v>
      </c>
      <c r="K13" s="284">
        <v>1</v>
      </c>
      <c r="L13" s="193">
        <f>IFERROR(VLOOKUP(E13,'Indicadores Financeiros'!$A$90:$J$92,10,FALSE),0)</f>
        <v>0</v>
      </c>
      <c r="M13" s="180">
        <f>VLOOKUP($E13,'Tabela de Códigos e Valores'!$A:$Z,16,FALSE)</f>
        <v>1385.91</v>
      </c>
      <c r="N13" s="180">
        <f>VLOOKUP($E13,'Tabela de Códigos e Valores'!$A:$Z,17,FALSE)</f>
        <v>1079.8499999999999</v>
      </c>
      <c r="O13" s="180">
        <f>VLOOKUP($E13,'Tabela de Códigos e Valores'!$A:$AAB,28,FALSE)</f>
        <v>429.73</v>
      </c>
      <c r="P13" s="180">
        <f>ROUND(IF($G13&lt;&gt;"M2",IF(VLOOKUP($E13,'Tabela de Códigos e Valores'!$A:$J,10,FALSE)*6%&gt;=VLOOKUP('Relatório Custo'!$A13,'Indicadores Financeiros'!$A$145:$I$208,9,FALSE)*'Relatório Custo'!I13,0,VLOOKUP('Relatório Custo'!$A13,'Indicadores Financeiros'!$A$145:$I$208,9,FALSE)*'Relatório Custo'!I13-VLOOKUP($E13,'Tabela de Códigos e Valores'!$A:$J,10,FALSE)*6%),0),2)</f>
        <v>168.21</v>
      </c>
      <c r="Q13" s="180">
        <f>VLOOKUP($E13,'Tabela de Códigos e Valores'!$A:$AAC,30,FALSE)</f>
        <v>108.4</v>
      </c>
      <c r="R13" s="180">
        <f>ROUND(ROUND(($M13+$N13+$O13+$P13+$Q13),2)*VLOOKUP($E13,'Tabela de Códigos e Valores'!$A:$AE,31,FALSE)/(1-VLOOKUP($E13,'Tabela de Códigos e Valores'!$A:$AE,31,FALSE)),2)</f>
        <v>432.56</v>
      </c>
      <c r="S13" s="24">
        <f t="shared" si="0"/>
        <v>3604.6600000000003</v>
      </c>
      <c r="T13" s="182">
        <f>VLOOKUP($A13,'Indicadores Financeiros'!$A$145:$J$208,8,FALSE)</f>
        <v>0.27810000000000001</v>
      </c>
      <c r="U13" s="24">
        <f t="shared" si="1"/>
        <v>4607.12</v>
      </c>
      <c r="V13" s="32">
        <f t="shared" si="2"/>
        <v>4607.12</v>
      </c>
      <c r="W13" s="240">
        <f>VLOOKUP($A13,'Indicadores Financeiros'!$A$145:$J$208,10)</f>
        <v>1</v>
      </c>
      <c r="X13" s="64">
        <f>U13*IF(H13="Mensal",('Indicadores Financeiros'!$F$14-W13+1),IF(H13="Trimestral",INT(('Indicadores Financeiros'!$F$14-W13+1)/3),INT(('Indicadores Financeiros'!$F$14-W13+1)/12)))*K13</f>
        <v>138213.6</v>
      </c>
      <c r="Y13" s="75"/>
      <c r="Z13" s="64">
        <f t="shared" si="3"/>
        <v>1385.91</v>
      </c>
      <c r="AA13" s="64">
        <f>ROUND('Indicadores Financeiros'!$J$71*$Z13,4)</f>
        <v>443.3526</v>
      </c>
      <c r="AB13" s="25"/>
      <c r="AC13" s="23">
        <f t="shared" si="4"/>
        <v>219.39</v>
      </c>
      <c r="AD13" s="23">
        <f>ROUND((ROUND(VLOOKUP($E13,'Tabela de Códigos e Valores'!$A:$AB,26,FALSE)/I13,2)+ROUND(P13/I13,2)+ROUND(M13*'Indicadores Financeiros'!$J$61/I13,2)+ROUND(R13/I13,2))*(1+T13),2)</f>
        <v>64.010000000000005</v>
      </c>
      <c r="AE13" s="23">
        <f>IF(G13="posto",IF(OR(E13=690018,E13=690019),'Indicadores Financeiros'!$J$117,IF(OR(E13=690002,E13=690016,E13=690019,E13=690035,E13=690038,E13=690064),'Indicadores Financeiros'!$G$117/2*(1+T13),'Indicadores Financeiros'!$G$117*(1+T13))),0)</f>
        <v>0</v>
      </c>
      <c r="AF13" s="58"/>
      <c r="AG13" s="31"/>
      <c r="AH13" s="273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</row>
    <row r="14" spans="1:347" s="26" customFormat="1" x14ac:dyDescent="0.25">
      <c r="A14" s="21">
        <v>1</v>
      </c>
      <c r="B14" s="21">
        <f>VLOOKUP($A14,'Indicadores Financeiros'!$A$145:$J$306,2,FALSE)</f>
        <v>328</v>
      </c>
      <c r="C14" s="22" t="str">
        <f>VLOOKUP($A14,'Indicadores Financeiros'!$A$145:$J$306,3,FALSE)</f>
        <v>São Paulo - Palácio da Justiça</v>
      </c>
      <c r="D14" s="353" t="str">
        <f>VLOOKUP($B14,BIP!A:E,5,FALSE)</f>
        <v>São Paulo</v>
      </c>
      <c r="E14" s="73">
        <v>690020</v>
      </c>
      <c r="F14" s="7" t="str">
        <f>VLOOKUP($E14,'Tabela de Códigos e Valores'!$A:$M,2,FALSE)</f>
        <v>Serviço de Jardinagem</v>
      </c>
      <c r="G14" s="7" t="str">
        <f>VLOOKUP($E14,'Tabela de Códigos e Valores'!$A:$M,5,FALSE)</f>
        <v>M2</v>
      </c>
      <c r="H14" s="7" t="str">
        <f>VLOOKUP($E14,'Tabela de Códigos e Valores'!$A:$M,6,FALSE)</f>
        <v>Mensal</v>
      </c>
      <c r="I14" s="180">
        <f>VLOOKUP($E14,'Tabela de Códigos e Valores'!$A:$M,7,FALSE)</f>
        <v>0</v>
      </c>
      <c r="J14" s="180">
        <f>VLOOKUP($E14,'Tabela de Códigos e Valores'!$A:$M,8,FALSE)</f>
        <v>0</v>
      </c>
      <c r="K14" s="284">
        <v>1</v>
      </c>
      <c r="L14" s="193">
        <f>IFERROR(VLOOKUP(E14,'Indicadores Financeiros'!$A$90:$J$92,10,FALSE),0)</f>
        <v>0.84</v>
      </c>
      <c r="M14" s="180">
        <f>VLOOKUP($E14,'Tabela de Códigos e Valores'!$A:$Z,16,FALSE)</f>
        <v>0</v>
      </c>
      <c r="N14" s="180">
        <f>VLOOKUP($E14,'Tabela de Códigos e Valores'!$A:$Z,17,FALSE)</f>
        <v>0</v>
      </c>
      <c r="O14" s="180">
        <f>VLOOKUP($E14,'Tabela de Códigos e Valores'!$A:$AAB,28,FALSE)</f>
        <v>0</v>
      </c>
      <c r="P14" s="180">
        <f>ROUND(IF($G14&lt;&gt;"M2",IF(VLOOKUP($E14,'Tabela de Códigos e Valores'!$A:$J,10,FALSE)*6%&gt;=VLOOKUP('Relatório Custo'!$A14,'Indicadores Financeiros'!$A$145:$I$208,9,FALSE)*'Relatório Custo'!I14,0,VLOOKUP('Relatório Custo'!$A14,'Indicadores Financeiros'!$A$145:$I$208,9,FALSE)*'Relatório Custo'!I14-VLOOKUP($E14,'Tabela de Códigos e Valores'!$A:$J,10,FALSE)*6%),0),2)</f>
        <v>0</v>
      </c>
      <c r="Q14" s="180">
        <f>VLOOKUP($E14,'Tabela de Códigos e Valores'!$A:$AAC,30,FALSE)</f>
        <v>0</v>
      </c>
      <c r="R14" s="180">
        <f>ROUND(ROUND(($M14+$N14+$O14+$P14+$Q14),2)*VLOOKUP($E14,'Tabela de Códigos e Valores'!$A:$AE,31,FALSE)/(1-VLOOKUP($E14,'Tabela de Códigos e Valores'!$A:$AE,31,FALSE)),2)</f>
        <v>0</v>
      </c>
      <c r="S14" s="24">
        <f t="shared" si="0"/>
        <v>0.84</v>
      </c>
      <c r="T14" s="182">
        <f>VLOOKUP($A14,'Indicadores Financeiros'!$A$145:$J$208,8,FALSE)</f>
        <v>0.27810000000000001</v>
      </c>
      <c r="U14" s="24">
        <f t="shared" si="1"/>
        <v>1.07</v>
      </c>
      <c r="V14" s="32">
        <f t="shared" si="2"/>
        <v>1.07</v>
      </c>
      <c r="W14" s="240">
        <f>VLOOKUP($A14,'Indicadores Financeiros'!$A$145:$J$208,10)</f>
        <v>1</v>
      </c>
      <c r="X14" s="64">
        <f>U14*IF(H14="Mensal",('Indicadores Financeiros'!$F$14-W14+1),IF(H14="Trimestral",INT(('Indicadores Financeiros'!$F$14-W14+1)/3),INT(('Indicadores Financeiros'!$F$14-W14+1)/12)))*K14</f>
        <v>32.1</v>
      </c>
      <c r="Y14" s="75"/>
      <c r="Z14" s="64">
        <f t="shared" si="3"/>
        <v>0</v>
      </c>
      <c r="AA14" s="64">
        <f>ROUND('Indicadores Financeiros'!$J$71*$Z14,4)</f>
        <v>0</v>
      </c>
      <c r="AB14" s="25"/>
      <c r="AC14" s="23">
        <f>ROUND(IF(OR($G14="Posto",$G14="Plantão"),$U14/$I14,0),2)</f>
        <v>0</v>
      </c>
      <c r="AD14" s="23">
        <f>IF(G14="m2",0,ROUND((ROUND(VLOOKUP($E14,'Tabela de Códigos e Valores'!$A:$AB,26,FALSE)/I14,2)+ROUND(P14/I14,2)+ROUND(M14*'Indicadores Financeiros'!$J$61/I14,2)+ROUND(R14/I14,2))*(1+T14),2))</f>
        <v>0</v>
      </c>
      <c r="AE14" s="23">
        <f>IF(G14="posto",IF(OR(E14=690018,E14=690019),'Indicadores Financeiros'!$J$117,IF(OR(E14=690002,E14=690016,E14=690019,E14=690035,E14=690038,E14=690064),'Indicadores Financeiros'!$G$117/2*(1+T14),'Indicadores Financeiros'!$G$117*(1+T14))),0)</f>
        <v>0</v>
      </c>
      <c r="AF14" s="58"/>
      <c r="AG14" s="31"/>
      <c r="AH14" s="273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</row>
    <row r="15" spans="1:347" s="26" customFormat="1" ht="24" x14ac:dyDescent="0.25">
      <c r="A15" s="21">
        <v>1</v>
      </c>
      <c r="B15" s="21">
        <f>VLOOKUP($A15,'Indicadores Financeiros'!$A$145:$J$306,2,FALSE)</f>
        <v>328</v>
      </c>
      <c r="C15" s="22" t="str">
        <f>VLOOKUP($A15,'Indicadores Financeiros'!$A$145:$J$306,3,FALSE)</f>
        <v>São Paulo - Palácio da Justiça</v>
      </c>
      <c r="D15" s="353" t="str">
        <f>VLOOKUP($B15,BIP!A:E,5,FALSE)</f>
        <v>São Paulo</v>
      </c>
      <c r="E15" s="73">
        <v>690021</v>
      </c>
      <c r="F15" s="7" t="str">
        <f>VLOOKUP($E15,'Tabela de Códigos e Valores'!$A:$M,2,FALSE)</f>
        <v>Serviço de limpeza de vidros com exposição à situação de risco</v>
      </c>
      <c r="G15" s="7" t="str">
        <f>VLOOKUP($E15,'Tabela de Códigos e Valores'!$A:$M,5,FALSE)</f>
        <v>M2</v>
      </c>
      <c r="H15" s="7" t="str">
        <f>VLOOKUP($E15,'Tabela de Códigos e Valores'!$A:$M,6,FALSE)</f>
        <v>Trimestral</v>
      </c>
      <c r="I15" s="180">
        <f>VLOOKUP($E15,'Tabela de Códigos e Valores'!$A:$M,7,FALSE)</f>
        <v>0</v>
      </c>
      <c r="J15" s="180">
        <f>VLOOKUP($E15,'Tabela de Códigos e Valores'!$A:$M,8,FALSE)</f>
        <v>0</v>
      </c>
      <c r="K15" s="284">
        <v>1</v>
      </c>
      <c r="L15" s="193">
        <f>IFERROR(VLOOKUP(E15,'Indicadores Financeiros'!$A$90:$J$92,10,FALSE),0)</f>
        <v>2.2200000000000002</v>
      </c>
      <c r="M15" s="180">
        <f>VLOOKUP($E15,'Tabela de Códigos e Valores'!$A:$Z,16,FALSE)</f>
        <v>0</v>
      </c>
      <c r="N15" s="180">
        <f>VLOOKUP($E15,'Tabela de Códigos e Valores'!$A:$Z,17,FALSE)</f>
        <v>0</v>
      </c>
      <c r="O15" s="180">
        <f>VLOOKUP($E15,'Tabela de Códigos e Valores'!$A:$AAB,28,FALSE)</f>
        <v>0</v>
      </c>
      <c r="P15" s="180">
        <f>ROUND(IF($G15&lt;&gt;"M2",IF(VLOOKUP($E15,'Tabela de Códigos e Valores'!$A:$J,10,FALSE)*6%&gt;=VLOOKUP('Relatório Custo'!$A15,'Indicadores Financeiros'!$A$145:$I$208,9,FALSE)*'Relatório Custo'!I15,0,VLOOKUP('Relatório Custo'!$A15,'Indicadores Financeiros'!$A$145:$I$208,9,FALSE)*'Relatório Custo'!I15-VLOOKUP($E15,'Tabela de Códigos e Valores'!$A:$J,10,FALSE)*6%),0),2)</f>
        <v>0</v>
      </c>
      <c r="Q15" s="180">
        <f>VLOOKUP($E15,'Tabela de Códigos e Valores'!$A:$AAC,30,FALSE)</f>
        <v>0</v>
      </c>
      <c r="R15" s="180">
        <f>ROUND(ROUND(($M15+$N15+$O15+$P15+$Q15),2)*VLOOKUP($E15,'Tabela de Códigos e Valores'!$A:$AE,31,FALSE)/(1-VLOOKUP($E15,'Tabela de Códigos e Valores'!$A:$AE,31,FALSE)),2)</f>
        <v>0</v>
      </c>
      <c r="S15" s="24">
        <f t="shared" si="0"/>
        <v>2.2200000000000002</v>
      </c>
      <c r="T15" s="182">
        <f>VLOOKUP($A15,'Indicadores Financeiros'!$A$145:$J$208,8,FALSE)</f>
        <v>0.27810000000000001</v>
      </c>
      <c r="U15" s="24">
        <f t="shared" si="1"/>
        <v>2.84</v>
      </c>
      <c r="V15" s="32">
        <f t="shared" si="2"/>
        <v>2.84</v>
      </c>
      <c r="W15" s="240">
        <f>VLOOKUP($A15,'Indicadores Financeiros'!$A$145:$J$208,10)</f>
        <v>1</v>
      </c>
      <c r="X15" s="64">
        <f>U15*IF(H15="Mensal",('Indicadores Financeiros'!$F$14-W15+1),IF(H15="Trimestral",INT(('Indicadores Financeiros'!$F$14-W15+1)/3),INT(('Indicadores Financeiros'!$F$14-W15+1)/12)))*K15</f>
        <v>28.4</v>
      </c>
      <c r="Y15" s="75"/>
      <c r="Z15" s="64">
        <f t="shared" si="3"/>
        <v>0</v>
      </c>
      <c r="AA15" s="64">
        <f>ROUND('Indicadores Financeiros'!$J$71*$Z15,4)</f>
        <v>0</v>
      </c>
      <c r="AB15" s="25"/>
      <c r="AC15" s="23">
        <f t="shared" si="4"/>
        <v>0</v>
      </c>
      <c r="AD15" s="23">
        <f>IF(G15="m2",0,ROUND((ROUND(VLOOKUP($E15,'Tabela de Códigos e Valores'!$A:$AB,26,FALSE)/I15,2)+ROUND(P15/I15,2)+ROUND(M15*'Indicadores Financeiros'!$J$61/I15,2)+ROUND(R15/I15,2))*(1+T15),2))</f>
        <v>0</v>
      </c>
      <c r="AE15" s="23">
        <f>IF(G15="posto",IF(OR(E15=690018,E15=690019),'Indicadores Financeiros'!$J$117,IF(OR(E15=690002,E15=690016,E15=690019,E15=690035,E15=690038,E15=690064),'Indicadores Financeiros'!$G$117/2*(1+T15),'Indicadores Financeiros'!$G$117*(1+T15))),0)</f>
        <v>0</v>
      </c>
      <c r="AF15" s="58"/>
      <c r="AG15" s="31"/>
      <c r="AH15" s="273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</row>
    <row r="16" spans="1:347" s="26" customFormat="1" ht="24" x14ac:dyDescent="0.25">
      <c r="A16" s="21">
        <v>1</v>
      </c>
      <c r="B16" s="21">
        <f>VLOOKUP($A16,'Indicadores Financeiros'!$A$145:$J$306,2,FALSE)</f>
        <v>328</v>
      </c>
      <c r="C16" s="22" t="str">
        <f>VLOOKUP($A16,'Indicadores Financeiros'!$A$145:$J$306,3,FALSE)</f>
        <v>São Paulo - Palácio da Justiça</v>
      </c>
      <c r="D16" s="353" t="str">
        <f>VLOOKUP($B16,BIP!A:E,5,FALSE)</f>
        <v>São Paulo</v>
      </c>
      <c r="E16" s="73">
        <v>690022</v>
      </c>
      <c r="F16" s="7" t="str">
        <f>VLOOKUP($E16,'Tabela de Códigos e Valores'!$A:$M,2,FALSE)</f>
        <v>Auxiliar de limpeza área médica - diurno - 44 horas semanais</v>
      </c>
      <c r="G16" s="7" t="str">
        <f>VLOOKUP($E16,'Tabela de Códigos e Valores'!$A:$M,5,FALSE)</f>
        <v>Posto</v>
      </c>
      <c r="H16" s="7" t="str">
        <f>VLOOKUP($E16,'Tabela de Códigos e Valores'!$A:$M,6,FALSE)</f>
        <v>Mensal</v>
      </c>
      <c r="I16" s="180">
        <f>VLOOKUP($E16,'Tabela de Códigos e Valores'!$A:$M,7,FALSE)</f>
        <v>21</v>
      </c>
      <c r="J16" s="180">
        <f>VLOOKUP($E16,'Tabela de Códigos e Valores'!$A:$M,8,FALSE)</f>
        <v>0</v>
      </c>
      <c r="K16" s="284">
        <v>1</v>
      </c>
      <c r="L16" s="193">
        <f>IFERROR(VLOOKUP(E16,'Indicadores Financeiros'!$A$90:$J$92,10,FALSE),0)</f>
        <v>0</v>
      </c>
      <c r="M16" s="180">
        <f>VLOOKUP($E16,'Tabela de Códigos e Valores'!$A:$Z,16,FALSE)</f>
        <v>2020.8000000000002</v>
      </c>
      <c r="N16" s="180">
        <f>VLOOKUP($E16,'Tabela de Códigos e Valores'!$A:$Z,17,FALSE)</f>
        <v>1574.54</v>
      </c>
      <c r="O16" s="180">
        <f>VLOOKUP($E16,'Tabela de Códigos e Valores'!$A:$AAB,28,FALSE)</f>
        <v>635.36</v>
      </c>
      <c r="P16" s="180">
        <f>ROUND(IF($G16&lt;&gt;"M2",IF(VLOOKUP($E16,'Tabela de Códigos e Valores'!$A:$J,10,FALSE)*6%&gt;=VLOOKUP('Relatório Custo'!$A16,'Indicadores Financeiros'!$A$145:$I$208,9,FALSE)*'Relatório Custo'!I16,0,VLOOKUP('Relatório Custo'!$A16,'Indicadores Financeiros'!$A$145:$I$208,9,FALSE)*'Relatório Custo'!I16-VLOOKUP($E16,'Tabela de Códigos e Valores'!$A:$J,10,FALSE)*6%),0),2)</f>
        <v>127.55</v>
      </c>
      <c r="Q16" s="180">
        <f>VLOOKUP($E16,'Tabela de Códigos e Valores'!$A:$AAC,30,FALSE)</f>
        <v>71.48</v>
      </c>
      <c r="R16" s="180">
        <f>ROUND(ROUND(($M16+$N16+$O16+$P16+$Q16),2)*VLOOKUP($E16,'Tabela de Códigos e Valores'!$A:$AE,31,FALSE)/(1-VLOOKUP($E16,'Tabela de Códigos e Valores'!$A:$AE,31,FALSE)),2)</f>
        <v>604.04999999999995</v>
      </c>
      <c r="S16" s="24">
        <f t="shared" si="0"/>
        <v>5033.78</v>
      </c>
      <c r="T16" s="182">
        <f>VLOOKUP($A16,'Indicadores Financeiros'!$A$145:$J$208,8,FALSE)</f>
        <v>0.27810000000000001</v>
      </c>
      <c r="U16" s="24">
        <f t="shared" si="1"/>
        <v>6433.67</v>
      </c>
      <c r="V16" s="32">
        <f t="shared" si="2"/>
        <v>6433.67</v>
      </c>
      <c r="W16" s="240">
        <f>VLOOKUP($A16,'Indicadores Financeiros'!$A$145:$J$208,10)</f>
        <v>1</v>
      </c>
      <c r="X16" s="64">
        <f>U16*IF(H16="Mensal",('Indicadores Financeiros'!$F$14-W16+1),IF(H16="Trimestral",INT(('Indicadores Financeiros'!$F$14-W16+1)/3),INT(('Indicadores Financeiros'!$F$14-W16+1)/12)))*K16</f>
        <v>193010.1</v>
      </c>
      <c r="Y16" s="75"/>
      <c r="Z16" s="64">
        <f t="shared" si="3"/>
        <v>2020.8000000000002</v>
      </c>
      <c r="AA16" s="64">
        <f>ROUND('Indicadores Financeiros'!$J$71*$Z16,4)</f>
        <v>646.45389999999998</v>
      </c>
      <c r="AB16" s="25"/>
      <c r="AC16" s="23">
        <f t="shared" si="4"/>
        <v>306.37</v>
      </c>
      <c r="AD16" s="23">
        <f>ROUND((ROUND(VLOOKUP($E16,'Tabela de Códigos e Valores'!$A:$AB,26,FALSE)/I16,2)+ROUND(P16/I16,2)+ROUND(M16*'Indicadores Financeiros'!$J$61/I16,2)+ROUND(R16/I16,2))*(1+T16),2)</f>
        <v>88.61</v>
      </c>
      <c r="AE16" s="23">
        <f>IF(G16="posto",IF(OR(E16=690018,E16=690019),'Indicadores Financeiros'!$J$117,IF(OR(E16=690002,E16=690016,E16=690019,E16=690035,E16=690038,E16=690064),'Indicadores Financeiros'!$G$117/2*(1+T16),'Indicadores Financeiros'!$G$117*(1+T16))),0)</f>
        <v>0</v>
      </c>
      <c r="AF16" s="58"/>
      <c r="AG16" s="31"/>
      <c r="AH16" s="273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</row>
    <row r="17" spans="1:346" s="26" customFormat="1" ht="24" x14ac:dyDescent="0.25">
      <c r="A17" s="21">
        <v>1</v>
      </c>
      <c r="B17" s="21">
        <f>VLOOKUP($A17,'Indicadores Financeiros'!$A$145:$J$306,2,FALSE)</f>
        <v>328</v>
      </c>
      <c r="C17" s="22" t="str">
        <f>VLOOKUP($A17,'Indicadores Financeiros'!$A$145:$J$306,3,FALSE)</f>
        <v>São Paulo - Palácio da Justiça</v>
      </c>
      <c r="D17" s="353" t="str">
        <f>VLOOKUP($B17,BIP!A:E,5,FALSE)</f>
        <v>São Paulo</v>
      </c>
      <c r="E17" s="73">
        <v>690025</v>
      </c>
      <c r="F17" s="7" t="str">
        <f>VLOOKUP($E17,'Tabela de Códigos e Valores'!$A:$M,2,FALSE)</f>
        <v>Serviço de limpeza - plantonista - sábado (5 horas)</v>
      </c>
      <c r="G17" s="7" t="str">
        <f>VLOOKUP($E17,'Tabela de Códigos e Valores'!$A:$M,5,FALSE)</f>
        <v>Plantão - Sábado</v>
      </c>
      <c r="H17" s="7" t="str">
        <f>VLOOKUP($E17,'Tabela de Códigos e Valores'!$A:$M,6,FALSE)</f>
        <v>Mensal</v>
      </c>
      <c r="I17" s="180">
        <f>VLOOKUP($E17,'Tabela de Códigos e Valores'!$A:$M,7,FALSE)</f>
        <v>5</v>
      </c>
      <c r="J17" s="180">
        <f>VLOOKUP($E17,'Tabela de Códigos e Valores'!$A:$M,8,FALSE)</f>
        <v>25</v>
      </c>
      <c r="K17" s="284">
        <v>1</v>
      </c>
      <c r="L17" s="193">
        <f>IFERROR(VLOOKUP(E17,'Indicadores Financeiros'!$A$90:$J$92,10,FALSE),0)</f>
        <v>0</v>
      </c>
      <c r="M17" s="180">
        <f>VLOOKUP($E17,'Tabela de Códigos e Valores'!$A:$Z,16,FALSE)</f>
        <v>292.75</v>
      </c>
      <c r="N17" s="180">
        <f>VLOOKUP($E17,'Tabela de Códigos e Valores'!$A:$Z,17,FALSE)</f>
        <v>227.99999999999997</v>
      </c>
      <c r="O17" s="180">
        <f>VLOOKUP($E17,'Tabela de Códigos e Valores'!$A:$AAB,28,FALSE)</f>
        <v>96.85</v>
      </c>
      <c r="P17" s="180">
        <f>ROUND(IF($G17&lt;&gt;"M2",IF(VLOOKUP($E17,'Tabela de Códigos e Valores'!$A:$J,10,FALSE)*6%&gt;=VLOOKUP('Relatório Custo'!$A17,'Indicadores Financeiros'!$A$145:$I$208,9,FALSE)*'Relatório Custo'!I17,0,VLOOKUP('Relatório Custo'!$A17,'Indicadores Financeiros'!$A$145:$I$208,9,FALSE)*'Relatório Custo'!I17-VLOOKUP($E17,'Tabela de Códigos e Valores'!$A:$J,10,FALSE)*6%),0),2)</f>
        <v>54.9</v>
      </c>
      <c r="Q17" s="180">
        <f>VLOOKUP($E17,'Tabela de Códigos e Valores'!$A:$AAC,30,FALSE)</f>
        <v>0</v>
      </c>
      <c r="R17" s="180">
        <f>ROUND(ROUND(($M17+$N17+$O17+$P17+$Q17),2)*VLOOKUP($E17,'Tabela de Códigos e Valores'!$A:$AE,31,FALSE)/(1-VLOOKUP($E17,'Tabela de Códigos e Valores'!$A:$AE,31,FALSE)),2)</f>
        <v>0</v>
      </c>
      <c r="S17" s="24">
        <f t="shared" si="0"/>
        <v>672.5</v>
      </c>
      <c r="T17" s="182">
        <f>VLOOKUP($A17,'Indicadores Financeiros'!$A$145:$J$208,8,FALSE)</f>
        <v>0.27810000000000001</v>
      </c>
      <c r="U17" s="24">
        <f t="shared" si="1"/>
        <v>859.52</v>
      </c>
      <c r="V17" s="32">
        <f t="shared" si="2"/>
        <v>859.52</v>
      </c>
      <c r="W17" s="240">
        <f>VLOOKUP($A17,'Indicadores Financeiros'!$A$145:$J$208,10)</f>
        <v>1</v>
      </c>
      <c r="X17" s="64">
        <f>U17*IF(H17="Mensal",('Indicadores Financeiros'!$F$14-W17+1),IF(H17="Trimestral",INT(('Indicadores Financeiros'!$F$14-W17+1)/3),INT(('Indicadores Financeiros'!$F$14-W17+1)/12)))*K17</f>
        <v>25785.599999999999</v>
      </c>
      <c r="Y17" s="75"/>
      <c r="Z17" s="64">
        <f t="shared" si="3"/>
        <v>0</v>
      </c>
      <c r="AA17" s="64">
        <f>ROUND('Indicadores Financeiros'!$J$71*$Z17,4)</f>
        <v>0</v>
      </c>
      <c r="AB17" s="25"/>
      <c r="AC17" s="23">
        <f>ROUND(IF(OR($G17="Posto",$G17="Plantão - Dom/Fer",$G17="Plantão - Sábado",$G17="Plantão - Recesso"),$U17/$I17,0),2)</f>
        <v>171.9</v>
      </c>
      <c r="AD17" s="23">
        <f>ROUND((ROUND(VLOOKUP($E17,'Tabela de Códigos e Valores'!$A:$AB,26,FALSE)/I17,2)+ROUND(P17/I17,2)+ROUND(M17*'Indicadores Financeiros'!$J$61/I17,2)+ROUND(R17/I17,2))*(1+T17),2)</f>
        <v>50.55</v>
      </c>
      <c r="AE17" s="23">
        <f>IF(G17="posto",IF(OR(E17=690018,E17=690019),'Indicadores Financeiros'!$J$117,IF(OR(E17=690002,E17=690016,E17=690019,E17=690035,E17=690038,E17=690064),'Indicadores Financeiros'!$G$117/2*(1+T17),'Indicadores Financeiros'!$G$117*(1+T17))),0)</f>
        <v>0</v>
      </c>
      <c r="AF17" s="58"/>
      <c r="AG17" s="31"/>
      <c r="AH17" s="273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</row>
    <row r="18" spans="1:346" s="26" customFormat="1" x14ac:dyDescent="0.25">
      <c r="A18" s="21">
        <v>1</v>
      </c>
      <c r="B18" s="21">
        <f>VLOOKUP($A18,'Indicadores Financeiros'!$A$145:$J$306,2,FALSE)</f>
        <v>328</v>
      </c>
      <c r="C18" s="22" t="str">
        <f>VLOOKUP($A18,'Indicadores Financeiros'!$A$145:$J$306,3,FALSE)</f>
        <v>São Paulo - Palácio da Justiça</v>
      </c>
      <c r="D18" s="353" t="str">
        <f>VLOOKUP($B18,BIP!A:E,5,FALSE)</f>
        <v>São Paulo</v>
      </c>
      <c r="E18" s="73">
        <v>690026</v>
      </c>
      <c r="F18" s="7" t="str">
        <f>VLOOKUP($E18,'Tabela de Códigos e Valores'!$A:$M,2,FALSE)</f>
        <v>Copeiro(a) - diurno - 44 horas semanais</v>
      </c>
      <c r="G18" s="7" t="str">
        <f>VLOOKUP($E18,'Tabela de Códigos e Valores'!$A:$M,5,FALSE)</f>
        <v>Posto</v>
      </c>
      <c r="H18" s="7" t="str">
        <f>VLOOKUP($E18,'Tabela de Códigos e Valores'!$A:$M,6,FALSE)</f>
        <v>Mensal</v>
      </c>
      <c r="I18" s="180">
        <f>VLOOKUP($E18,'Tabela de Códigos e Valores'!$A:$M,7,FALSE)</f>
        <v>21</v>
      </c>
      <c r="J18" s="180">
        <f>VLOOKUP($E18,'Tabela de Códigos e Valores'!$A:$M,8,FALSE)</f>
        <v>0</v>
      </c>
      <c r="K18" s="284">
        <v>1</v>
      </c>
      <c r="L18" s="193">
        <f>IFERROR(VLOOKUP(E18,'Indicadores Financeiros'!$A$90:$J$92,10,FALSE),0)</f>
        <v>0</v>
      </c>
      <c r="M18" s="180">
        <f>VLOOKUP($E18,'Tabela de Códigos e Valores'!$A:$Z,16,FALSE)</f>
        <v>1729.04</v>
      </c>
      <c r="N18" s="180">
        <f>VLOOKUP($E18,'Tabela de Códigos e Valores'!$A:$Z,17,FALSE)</f>
        <v>1347.21</v>
      </c>
      <c r="O18" s="180">
        <f>VLOOKUP($E18,'Tabela de Códigos e Valores'!$A:$AAB,28,FALSE)</f>
        <v>635.36</v>
      </c>
      <c r="P18" s="180">
        <f>ROUND(IF($G18&lt;&gt;"M2",IF(VLOOKUP($E18,'Tabela de Códigos e Valores'!$A:$J,10,FALSE)*6%&gt;=VLOOKUP('Relatório Custo'!$A18,'Indicadores Financeiros'!$A$145:$I$208,9,FALSE)*'Relatório Custo'!I18,0,VLOOKUP('Relatório Custo'!$A18,'Indicadores Financeiros'!$A$145:$I$208,9,FALSE)*'Relatório Custo'!I18-VLOOKUP($E18,'Tabela de Códigos e Valores'!$A:$J,10,FALSE)*6%),0),2)</f>
        <v>126.84</v>
      </c>
      <c r="Q18" s="180">
        <f>VLOOKUP($E18,'Tabela de Códigos e Valores'!$A:$AAC,30,FALSE)</f>
        <v>62.81</v>
      </c>
      <c r="R18" s="180">
        <f>ROUND(ROUND(($M18+$N18+$O18+$P18+$Q18),2)*VLOOKUP($E18,'Tabela de Códigos e Valores'!$A:$AE,31,FALSE)/(1-VLOOKUP($E18,'Tabela de Códigos e Valores'!$A:$AE,31,FALSE)),2)</f>
        <v>0</v>
      </c>
      <c r="S18" s="24">
        <f t="shared" si="0"/>
        <v>3901.26</v>
      </c>
      <c r="T18" s="182">
        <f>VLOOKUP($A18,'Indicadores Financeiros'!$A$145:$J$208,8,FALSE)</f>
        <v>0.27810000000000001</v>
      </c>
      <c r="U18" s="24">
        <f t="shared" si="1"/>
        <v>4986.2</v>
      </c>
      <c r="V18" s="32">
        <f t="shared" si="2"/>
        <v>4986.2</v>
      </c>
      <c r="W18" s="240">
        <f>VLOOKUP($A18,'Indicadores Financeiros'!$A$145:$J$208,10)</f>
        <v>1</v>
      </c>
      <c r="X18" s="64">
        <f>U18*IF(H18="Mensal",('Indicadores Financeiros'!$F$14-W18+1),IF(H18="Trimestral",INT(('Indicadores Financeiros'!$F$14-W18+1)/3),INT(('Indicadores Financeiros'!$F$14-W18+1)/12)))*K18</f>
        <v>149586</v>
      </c>
      <c r="Y18" s="75"/>
      <c r="Z18" s="64">
        <f t="shared" si="3"/>
        <v>1729.04</v>
      </c>
      <c r="AA18" s="64">
        <f>ROUND('Indicadores Financeiros'!$J$71*$Z18,4)</f>
        <v>553.11990000000003</v>
      </c>
      <c r="AB18" s="25"/>
      <c r="AC18" s="23">
        <f t="shared" si="4"/>
        <v>237.44</v>
      </c>
      <c r="AD18" s="23">
        <f>ROUND((ROUND(VLOOKUP($E18,'Tabela de Códigos e Valores'!$A:$AB,26,FALSE)/I18,2)+ROUND(P18/I18,2)+ROUND(M18*'Indicadores Financeiros'!$J$61/I18,2)+ROUND(R18/I18,2))*(1+T18),2)</f>
        <v>49.02</v>
      </c>
      <c r="AE18" s="23">
        <f>IF(G18="posto",IF(OR(E18=690018,E18=690019),'Indicadores Financeiros'!$J$117,IF(OR(E18=690002,E18=690016,E18=690019,E18=690035,E18=690038,E18=690064),'Indicadores Financeiros'!$G$117/2*(1+T18),'Indicadores Financeiros'!$G$117*(1+T18))),0)</f>
        <v>0</v>
      </c>
      <c r="AF18" s="58"/>
      <c r="AG18" s="31"/>
      <c r="AH18" s="273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</row>
    <row r="19" spans="1:346" s="26" customFormat="1" ht="24" x14ac:dyDescent="0.25">
      <c r="A19" s="21">
        <v>1</v>
      </c>
      <c r="B19" s="21">
        <f>VLOOKUP($A19,'Indicadores Financeiros'!$A$145:$J$306,2,FALSE)</f>
        <v>328</v>
      </c>
      <c r="C19" s="22" t="str">
        <f>VLOOKUP($A19,'Indicadores Financeiros'!$A$145:$J$306,3,FALSE)</f>
        <v>São Paulo - Palácio da Justiça</v>
      </c>
      <c r="D19" s="353" t="str">
        <f>VLOOKUP($B19,BIP!A:E,5,FALSE)</f>
        <v>São Paulo</v>
      </c>
      <c r="E19" s="73">
        <v>690028</v>
      </c>
      <c r="F19" s="7" t="str">
        <f>VLOOKUP($E19,'Tabela de Códigos e Valores'!$A:$M,2,FALSE)</f>
        <v>Supervisor(a) de limpeza - diurno - 44 horas semanais</v>
      </c>
      <c r="G19" s="7" t="str">
        <f>VLOOKUP($E19,'Tabela de Códigos e Valores'!$A:$M,5,FALSE)</f>
        <v>Posto</v>
      </c>
      <c r="H19" s="7" t="str">
        <f>VLOOKUP($E19,'Tabela de Códigos e Valores'!$A:$M,6,FALSE)</f>
        <v>Mensal</v>
      </c>
      <c r="I19" s="180">
        <f>VLOOKUP($E19,'Tabela de Códigos e Valores'!$A:$M,7,FALSE)</f>
        <v>21</v>
      </c>
      <c r="J19" s="180">
        <f>VLOOKUP($E19,'Tabela de Códigos e Valores'!$A:$M,8,FALSE)</f>
        <v>0</v>
      </c>
      <c r="K19" s="284">
        <v>1</v>
      </c>
      <c r="L19" s="193">
        <f>IFERROR(VLOOKUP(E19,'Indicadores Financeiros'!$A$90:$J$92,10,FALSE),0)</f>
        <v>0</v>
      </c>
      <c r="M19" s="180">
        <f>VLOOKUP($E19,'Tabela de Códigos e Valores'!$A:$Z,16,FALSE)</f>
        <v>2444.29</v>
      </c>
      <c r="N19" s="180">
        <f>VLOOKUP($E19,'Tabela de Códigos e Valores'!$A:$Z,17,FALSE)</f>
        <v>1904.51</v>
      </c>
      <c r="O19" s="180">
        <f>VLOOKUP($E19,'Tabela de Códigos e Valores'!$A:$AAB,28,FALSE)</f>
        <v>635.36</v>
      </c>
      <c r="P19" s="180">
        <f>ROUND(IF($G19&lt;&gt;"M2",IF(VLOOKUP($E19,'Tabela de Códigos e Valores'!$A:$J,10,FALSE)*6%&gt;=VLOOKUP('Relatório Custo'!$A19,'Indicadores Financeiros'!$A$145:$I$208,9,FALSE)*'Relatório Custo'!I19,0,VLOOKUP('Relatório Custo'!$A19,'Indicadores Financeiros'!$A$145:$I$208,9,FALSE)*'Relatório Custo'!I19-VLOOKUP($E19,'Tabela de Códigos e Valores'!$A:$J,10,FALSE)*6%),0),2)</f>
        <v>83.92</v>
      </c>
      <c r="Q19" s="180">
        <f>VLOOKUP($E19,'Tabela de Códigos e Valores'!$A:$AAC,30,FALSE)</f>
        <v>73.040000000000006</v>
      </c>
      <c r="R19" s="180">
        <f>ROUND(ROUND(($M19+$N19+$O19+$P19+$Q19),2)*VLOOKUP($E19,'Tabela de Códigos e Valores'!$A:$AE,31,FALSE)/(1-VLOOKUP($E19,'Tabela de Códigos e Valores'!$A:$AE,31,FALSE)),2)</f>
        <v>0</v>
      </c>
      <c r="S19" s="24">
        <f t="shared" si="0"/>
        <v>5141.12</v>
      </c>
      <c r="T19" s="182">
        <f>VLOOKUP($A19,'Indicadores Financeiros'!$A$145:$J$208,8,FALSE)</f>
        <v>0.27810000000000001</v>
      </c>
      <c r="U19" s="24">
        <f t="shared" si="1"/>
        <v>6570.87</v>
      </c>
      <c r="V19" s="32">
        <f t="shared" si="2"/>
        <v>6570.87</v>
      </c>
      <c r="W19" s="240">
        <f>VLOOKUP($A19,'Indicadores Financeiros'!$A$145:$J$208,10)</f>
        <v>1</v>
      </c>
      <c r="X19" s="64">
        <f>U19*IF(H19="Mensal",('Indicadores Financeiros'!$F$14-W19+1),IF(H19="Trimestral",INT(('Indicadores Financeiros'!$F$14-W19+1)/3),INT(('Indicadores Financeiros'!$F$14-W19+1)/12)))*K19</f>
        <v>197126.1</v>
      </c>
      <c r="Y19" s="75"/>
      <c r="Z19" s="64">
        <f t="shared" si="3"/>
        <v>2444.29</v>
      </c>
      <c r="AA19" s="64">
        <f>ROUND('Indicadores Financeiros'!$J$71*$Z19,4)</f>
        <v>781.92840000000001</v>
      </c>
      <c r="AB19" s="25"/>
      <c r="AC19" s="23">
        <f t="shared" si="4"/>
        <v>312.89999999999998</v>
      </c>
      <c r="AD19" s="23">
        <f>ROUND((ROUND(VLOOKUP($E19,'Tabela de Códigos e Valores'!$A:$AB,26,FALSE)/I19,2)+ROUND(P19/I19,2)+ROUND(M19*'Indicadores Financeiros'!$J$61/I19,2)+ROUND(R19/I19,2))*(1+T19),2)</f>
        <v>53.26</v>
      </c>
      <c r="AE19" s="23">
        <f>IF(G19="posto",IF(OR(E19=690018,E19=690019),'Indicadores Financeiros'!$J$117,IF(OR(E19=690002,E19=690016,E19=690019,E19=690035,E19=690038,E19=690064),'Indicadores Financeiros'!$G$117/2*(1+T19),'Indicadores Financeiros'!$G$117*(1+T19))),0)</f>
        <v>0</v>
      </c>
      <c r="AF19" s="58"/>
      <c r="AG19" s="31"/>
      <c r="AH19" s="273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</row>
    <row r="20" spans="1:346" s="26" customFormat="1" ht="24" x14ac:dyDescent="0.25">
      <c r="A20" s="21">
        <v>1</v>
      </c>
      <c r="B20" s="21">
        <f>VLOOKUP($A20,'Indicadores Financeiros'!$A$145:$J$306,2,FALSE)</f>
        <v>328</v>
      </c>
      <c r="C20" s="22" t="str">
        <f>VLOOKUP($A20,'Indicadores Financeiros'!$A$145:$J$306,3,FALSE)</f>
        <v>São Paulo - Palácio da Justiça</v>
      </c>
      <c r="D20" s="353" t="str">
        <f>VLOOKUP($B20,BIP!A:E,5,FALSE)</f>
        <v>São Paulo</v>
      </c>
      <c r="E20" s="73">
        <v>690029</v>
      </c>
      <c r="F20" s="7" t="str">
        <f>VLOOKUP($E20,'Tabela de Códigos e Valores'!$A:$M,2,FALSE)</f>
        <v>Serviço de limpeza de vidros sem exposição à situação de risco</v>
      </c>
      <c r="G20" s="7" t="str">
        <f>VLOOKUP($E20,'Tabela de Códigos e Valores'!$A:$M,5,FALSE)</f>
        <v>M2</v>
      </c>
      <c r="H20" s="7" t="str">
        <f>VLOOKUP($E20,'Tabela de Códigos e Valores'!$A:$M,6,FALSE)</f>
        <v>Trimestral</v>
      </c>
      <c r="I20" s="180">
        <f>VLOOKUP($E20,'Tabela de Códigos e Valores'!$A:$M,7,FALSE)</f>
        <v>0</v>
      </c>
      <c r="J20" s="180">
        <f>VLOOKUP($E20,'Tabela de Códigos e Valores'!$A:$M,8,FALSE)</f>
        <v>0</v>
      </c>
      <c r="K20" s="284">
        <v>1</v>
      </c>
      <c r="L20" s="193">
        <f>IFERROR(VLOOKUP(E20,'Indicadores Financeiros'!$A$90:$J$92,10,FALSE),0)</f>
        <v>1.74</v>
      </c>
      <c r="M20" s="180">
        <f>VLOOKUP($E20,'Tabela de Códigos e Valores'!$A:$Z,16,FALSE)</f>
        <v>0</v>
      </c>
      <c r="N20" s="180">
        <f>VLOOKUP($E20,'Tabela de Códigos e Valores'!$A:$Z,17,FALSE)</f>
        <v>0</v>
      </c>
      <c r="O20" s="180">
        <f>VLOOKUP($E20,'Tabela de Códigos e Valores'!$A:$AAB,28,FALSE)</f>
        <v>0</v>
      </c>
      <c r="P20" s="180">
        <f>ROUND(IF($G20&lt;&gt;"M2",IF(VLOOKUP($E20,'Tabela de Códigos e Valores'!$A:$J,10,FALSE)*6%&gt;=VLOOKUP('Relatório Custo'!$A20,'Indicadores Financeiros'!$A$145:$I$208,9,FALSE)*'Relatório Custo'!I20,0,VLOOKUP('Relatório Custo'!$A20,'Indicadores Financeiros'!$A$145:$I$208,9,FALSE)*'Relatório Custo'!I20-VLOOKUP($E20,'Tabela de Códigos e Valores'!$A:$J,10,FALSE)*6%),0),2)</f>
        <v>0</v>
      </c>
      <c r="Q20" s="180">
        <f>VLOOKUP($E20,'Tabela de Códigos e Valores'!$A:$AAC,30,FALSE)</f>
        <v>0</v>
      </c>
      <c r="R20" s="180">
        <f>ROUND(ROUND(($M20+$N20+$O20+$P20+$Q20),2)*VLOOKUP($E20,'Tabela de Códigos e Valores'!$A:$AE,31,FALSE)/(1-VLOOKUP($E20,'Tabela de Códigos e Valores'!$A:$AE,31,FALSE)),2)</f>
        <v>0</v>
      </c>
      <c r="S20" s="24">
        <f t="shared" si="0"/>
        <v>1.74</v>
      </c>
      <c r="T20" s="182">
        <f>VLOOKUP($A20,'Indicadores Financeiros'!$A$145:$J$208,8,FALSE)</f>
        <v>0.27810000000000001</v>
      </c>
      <c r="U20" s="24">
        <f t="shared" si="1"/>
        <v>2.2200000000000002</v>
      </c>
      <c r="V20" s="32">
        <f t="shared" si="2"/>
        <v>2.2200000000000002</v>
      </c>
      <c r="W20" s="240">
        <f>VLOOKUP($A20,'Indicadores Financeiros'!$A$145:$J$208,10)</f>
        <v>1</v>
      </c>
      <c r="X20" s="64">
        <f>U20*IF(H20="Mensal",('Indicadores Financeiros'!$F$14-W20+1),IF(H20="Trimestral",INT(('Indicadores Financeiros'!$F$14-W20+1)/3),INT(('Indicadores Financeiros'!$F$14-W20+1)/12)))*K20</f>
        <v>22.200000000000003</v>
      </c>
      <c r="Y20" s="75"/>
      <c r="Z20" s="64">
        <f t="shared" si="3"/>
        <v>0</v>
      </c>
      <c r="AA20" s="64">
        <f>ROUND('Indicadores Financeiros'!$J$71*$Z20,4)</f>
        <v>0</v>
      </c>
      <c r="AB20" s="25"/>
      <c r="AC20" s="23">
        <f t="shared" si="4"/>
        <v>0</v>
      </c>
      <c r="AD20" s="23">
        <f>IF(G20="m2",0,ROUND((ROUND(VLOOKUP($E20,'Tabela de Códigos e Valores'!$A:$AB,26,FALSE)/I20,2)+ROUND(P20/I20,2)+ROUND(M20*'Indicadores Financeiros'!$J$61/I20,2)+ROUND(R20/I20,2))*(1+T20),2))</f>
        <v>0</v>
      </c>
      <c r="AE20" s="23">
        <f>IF(G20="posto",IF(OR(E20=690018,E20=690019),'Indicadores Financeiros'!$J$117,IF(OR(E20=690002,E20=690016,E20=690019,E20=690035,E20=690038,E20=690064),'Indicadores Financeiros'!$G$117/2*(1+T20),'Indicadores Financeiros'!$G$117*(1+T20))),0)</f>
        <v>0</v>
      </c>
      <c r="AF20" s="58"/>
      <c r="AG20" s="31"/>
      <c r="AH20" s="273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</row>
    <row r="21" spans="1:346" s="26" customFormat="1" ht="24" x14ac:dyDescent="0.25">
      <c r="A21" s="21">
        <v>1</v>
      </c>
      <c r="B21" s="21">
        <f>VLOOKUP($A21,'Indicadores Financeiros'!$A$145:$J$306,2,FALSE)</f>
        <v>328</v>
      </c>
      <c r="C21" s="22" t="str">
        <f>VLOOKUP($A21,'Indicadores Financeiros'!$A$145:$J$306,3,FALSE)</f>
        <v>São Paulo - Palácio da Justiça</v>
      </c>
      <c r="D21" s="353" t="str">
        <f>VLOOKUP($B21,BIP!A:E,5,FALSE)</f>
        <v>São Paulo</v>
      </c>
      <c r="E21" s="73">
        <v>690030</v>
      </c>
      <c r="F21" s="7" t="str">
        <f>VLOOKUP($E21,'Tabela de Códigos e Valores'!$A:$M,2,FALSE)</f>
        <v>Serviço de encarregado - plantonista - sábado</v>
      </c>
      <c r="G21" s="7" t="str">
        <f>VLOOKUP($E21,'Tabela de Códigos e Valores'!$A:$M,5,FALSE)</f>
        <v>Plantão - Sábado</v>
      </c>
      <c r="H21" s="7" t="str">
        <f>VLOOKUP($E21,'Tabela de Códigos e Valores'!$A:$M,6,FALSE)</f>
        <v>Mensal</v>
      </c>
      <c r="I21" s="180">
        <f>VLOOKUP($E21,'Tabela de Códigos e Valores'!$A:$M,7,FALSE)</f>
        <v>5</v>
      </c>
      <c r="J21" s="180">
        <f>VLOOKUP($E21,'Tabela de Códigos e Valores'!$A:$M,8,FALSE)</f>
        <v>25</v>
      </c>
      <c r="K21" s="284">
        <v>1</v>
      </c>
      <c r="L21" s="193">
        <f>IFERROR(VLOOKUP(E21,'Indicadores Financeiros'!$A$90:$J$92,10,FALSE),0)</f>
        <v>0</v>
      </c>
      <c r="M21" s="180">
        <f>VLOOKUP($E21,'Tabela de Códigos e Valores'!$A:$Z,16,FALSE)</f>
        <v>383</v>
      </c>
      <c r="N21" s="180">
        <f>VLOOKUP($E21,'Tabela de Códigos e Valores'!$A:$Z,17,FALSE)</f>
        <v>298.5</v>
      </c>
      <c r="O21" s="180">
        <f>VLOOKUP($E21,'Tabela de Códigos e Valores'!$A:$AAB,28,FALSE)</f>
        <v>96.85</v>
      </c>
      <c r="P21" s="180">
        <f>ROUND(IF($G21&lt;&gt;"M2",IF(VLOOKUP($E21,'Tabela de Códigos e Valores'!$A:$J,10,FALSE)*6%&gt;=VLOOKUP('Relatório Custo'!$A21,'Indicadores Financeiros'!$A$145:$I$208,9,FALSE)*'Relatório Custo'!I21,0,VLOOKUP('Relatório Custo'!$A21,'Indicadores Financeiros'!$A$145:$I$208,9,FALSE)*'Relatório Custo'!I21-VLOOKUP($E21,'Tabela de Códigos e Valores'!$A:$J,10,FALSE)*6%),0),2)</f>
        <v>54.9</v>
      </c>
      <c r="Q21" s="180">
        <f>VLOOKUP($E21,'Tabela de Códigos e Valores'!$A:$AAC,30,FALSE)</f>
        <v>0</v>
      </c>
      <c r="R21" s="180">
        <f>ROUND(ROUND(($M21+$N21+$O21+$P21+$Q21),2)*VLOOKUP($E21,'Tabela de Códigos e Valores'!$A:$AE,31,FALSE)/(1-VLOOKUP($E21,'Tabela de Códigos e Valores'!$A:$AE,31,FALSE)),2)</f>
        <v>0</v>
      </c>
      <c r="S21" s="24">
        <f t="shared" si="0"/>
        <v>833.25</v>
      </c>
      <c r="T21" s="182">
        <f>VLOOKUP($A21,'Indicadores Financeiros'!$A$145:$J$208,8,FALSE)</f>
        <v>0.27810000000000001</v>
      </c>
      <c r="U21" s="24">
        <f t="shared" si="1"/>
        <v>1064.98</v>
      </c>
      <c r="V21" s="32">
        <f t="shared" si="2"/>
        <v>1064.98</v>
      </c>
      <c r="W21" s="240">
        <f>VLOOKUP($A21,'Indicadores Financeiros'!$A$145:$J$208,10)</f>
        <v>1</v>
      </c>
      <c r="X21" s="64">
        <f>U21*IF(H21="Mensal",('Indicadores Financeiros'!$F$14-W21+1),IF(H21="Trimestral",INT(('Indicadores Financeiros'!$F$14-W21+1)/3),INT(('Indicadores Financeiros'!$F$14-W21+1)/12)))*K21</f>
        <v>31949.4</v>
      </c>
      <c r="Y21" s="75"/>
      <c r="Z21" s="64">
        <f t="shared" si="3"/>
        <v>0</v>
      </c>
      <c r="AA21" s="64">
        <f>ROUND('Indicadores Financeiros'!$J$71*$Z21,4)</f>
        <v>0</v>
      </c>
      <c r="AB21" s="25"/>
      <c r="AC21" s="23">
        <f t="shared" ref="AC21:AC22" si="5">ROUND(IF(OR($G21="Posto",$G21="Plantão - Dom/Fer",$G21="Plantão - Sábado",$G21="Plantão - Recesso"),$U21/$I21,0),2)</f>
        <v>213</v>
      </c>
      <c r="AD21" s="23">
        <f>ROUND((ROUND(VLOOKUP($E21,'Tabela de Códigos e Valores'!$A:$AB,26,FALSE)/I21,2)+ROUND(P21/I21,2)+ROUND(M21*'Indicadores Financeiros'!$J$61/I21,2)+ROUND(R21/I21,2))*(1+T21),2)</f>
        <v>54.18</v>
      </c>
      <c r="AE21" s="23">
        <f>IF(G21="posto",IF(OR(E21=690018,E21=690019),'Indicadores Financeiros'!$J$117,IF(OR(E21=690002,E21=690016,E21=690019,E21=690035,E21=690038,E21=690064),'Indicadores Financeiros'!$G$117/2*(1+T21),'Indicadores Financeiros'!$G$117*(1+T21))),0)</f>
        <v>0</v>
      </c>
      <c r="AF21" s="58"/>
      <c r="AG21" s="31"/>
      <c r="AH21" s="273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</row>
    <row r="22" spans="1:346" s="26" customFormat="1" ht="24" x14ac:dyDescent="0.25">
      <c r="A22" s="21">
        <v>1</v>
      </c>
      <c r="B22" s="21">
        <f>VLOOKUP($A22,'Indicadores Financeiros'!$A$145:$J$306,2,FALSE)</f>
        <v>328</v>
      </c>
      <c r="C22" s="22" t="str">
        <f>VLOOKUP($A22,'Indicadores Financeiros'!$A$145:$J$306,3,FALSE)</f>
        <v>São Paulo - Palácio da Justiça</v>
      </c>
      <c r="D22" s="353" t="str">
        <f>VLOOKUP($B22,BIP!A:E,5,FALSE)</f>
        <v>São Paulo</v>
      </c>
      <c r="E22" s="73">
        <v>690031</v>
      </c>
      <c r="F22" s="7" t="str">
        <f>VLOOKUP($E22,'Tabela de Códigos e Valores'!$A:$M,2,FALSE)</f>
        <v>Serviço de encarregado - plantonista - domingos e feriados</v>
      </c>
      <c r="G22" s="7" t="str">
        <f>VLOOKUP($E22,'Tabela de Códigos e Valores'!$A:$M,5,FALSE)</f>
        <v>Plantão - Dom/Fer</v>
      </c>
      <c r="H22" s="7" t="str">
        <f>VLOOKUP($E22,'Tabela de Códigos e Valores'!$A:$M,6,FALSE)</f>
        <v>Mensal</v>
      </c>
      <c r="I22" s="180">
        <f>VLOOKUP($E22,'Tabela de Códigos e Valores'!$A:$M,7,FALSE)</f>
        <v>6</v>
      </c>
      <c r="J22" s="180">
        <f>VLOOKUP($E22,'Tabela de Códigos e Valores'!$A:$M,8,FALSE)</f>
        <v>30</v>
      </c>
      <c r="K22" s="284">
        <v>1</v>
      </c>
      <c r="L22" s="193">
        <f>IFERROR(VLOOKUP(E22,'Indicadores Financeiros'!$A$90:$J$92,10,FALSE),0)</f>
        <v>0</v>
      </c>
      <c r="M22" s="180">
        <f>VLOOKUP($E22,'Tabela de Códigos e Valores'!$A:$Z,16,FALSE)</f>
        <v>612.9</v>
      </c>
      <c r="N22" s="180">
        <f>VLOOKUP($E22,'Tabela de Códigos e Valores'!$A:$Z,17,FALSE)</f>
        <v>477.6</v>
      </c>
      <c r="O22" s="180">
        <f>VLOOKUP($E22,'Tabela de Códigos e Valores'!$A:$AAB,28,FALSE)</f>
        <v>116.22</v>
      </c>
      <c r="P22" s="180">
        <f>ROUND(IF($G22&lt;&gt;"M2",IF(VLOOKUP($E22,'Tabela de Códigos e Valores'!$A:$J,10,FALSE)*6%&gt;=VLOOKUP('Relatório Custo'!$A22,'Indicadores Financeiros'!$A$145:$I$208,9,FALSE)*'Relatório Custo'!I22,0,VLOOKUP('Relatório Custo'!$A22,'Indicadores Financeiros'!$A$145:$I$208,9,FALSE)*'Relatório Custo'!I22-VLOOKUP($E22,'Tabela de Códigos e Valores'!$A:$J,10,FALSE)*6%),0),2)</f>
        <v>65.88</v>
      </c>
      <c r="Q22" s="180">
        <f>VLOOKUP($E22,'Tabela de Códigos e Valores'!$A:$AAC,30,FALSE)</f>
        <v>0</v>
      </c>
      <c r="R22" s="180">
        <f>ROUND(ROUND(($M22+$N22+$O22+$P22+$Q22),2)*VLOOKUP($E22,'Tabela de Códigos e Valores'!$A:$AE,31,FALSE)/(1-VLOOKUP($E22,'Tabela de Códigos e Valores'!$A:$AE,31,FALSE)),2)</f>
        <v>0</v>
      </c>
      <c r="S22" s="24">
        <f t="shared" si="0"/>
        <v>1272.5999999999999</v>
      </c>
      <c r="T22" s="182">
        <f>VLOOKUP($A22,'Indicadores Financeiros'!$A$145:$J$208,8,FALSE)</f>
        <v>0.27810000000000001</v>
      </c>
      <c r="U22" s="24">
        <f t="shared" si="1"/>
        <v>1626.51</v>
      </c>
      <c r="V22" s="32">
        <f t="shared" si="2"/>
        <v>1626.51</v>
      </c>
      <c r="W22" s="240">
        <f>VLOOKUP($A22,'Indicadores Financeiros'!$A$145:$J$208,10)</f>
        <v>1</v>
      </c>
      <c r="X22" s="64">
        <f>U22*IF(H22="Mensal",('Indicadores Financeiros'!$F$14-W22+1),IF(H22="Trimestral",INT(('Indicadores Financeiros'!$F$14-W22+1)/3),INT(('Indicadores Financeiros'!$F$14-W22+1)/12)))*K22</f>
        <v>48795.3</v>
      </c>
      <c r="Y22" s="75"/>
      <c r="Z22" s="64">
        <f t="shared" si="3"/>
        <v>0</v>
      </c>
      <c r="AA22" s="64">
        <f>ROUND('Indicadores Financeiros'!$J$71*$Z22,4)</f>
        <v>0</v>
      </c>
      <c r="AB22" s="25"/>
      <c r="AC22" s="23">
        <f t="shared" si="5"/>
        <v>271.08999999999997</v>
      </c>
      <c r="AD22" s="23">
        <f>ROUND((ROUND(VLOOKUP($E22,'Tabela de Códigos e Valores'!$A:$AB,26,FALSE)/I22,2)+ROUND(P22/I22,2)+ROUND(M22*'Indicadores Financeiros'!$J$61/I22,2)+ROUND(R22/I22,2))*(1+T22),2)</f>
        <v>59.32</v>
      </c>
      <c r="AE22" s="23">
        <f>IF(G22="posto",IF(OR(E22=690018,E22=690019),'Indicadores Financeiros'!$J$117,IF(OR(E22=690002,E22=690016,E22=690019,E22=690035,E22=690038,E22=690064),'Indicadores Financeiros'!$G$117/2*(1+T22),'Indicadores Financeiros'!$G$117*(1+T22))),0)</f>
        <v>0</v>
      </c>
      <c r="AF22" s="58"/>
      <c r="AG22" s="31"/>
      <c r="AH22" s="273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</row>
    <row r="23" spans="1:346" s="26" customFormat="1" ht="24" x14ac:dyDescent="0.25">
      <c r="A23" s="21">
        <v>1</v>
      </c>
      <c r="B23" s="21">
        <f>VLOOKUP($A23,'Indicadores Financeiros'!$A$145:$J$306,2,FALSE)</f>
        <v>328</v>
      </c>
      <c r="C23" s="22" t="str">
        <f>VLOOKUP($A23,'Indicadores Financeiros'!$A$145:$J$306,3,FALSE)</f>
        <v>São Paulo - Palácio da Justiça</v>
      </c>
      <c r="D23" s="353" t="str">
        <f>VLOOKUP($B23,BIP!A:E,5,FALSE)</f>
        <v>São Paulo</v>
      </c>
      <c r="E23" s="73">
        <v>690032</v>
      </c>
      <c r="F23" s="7" t="str">
        <f>VLOOKUP($E23,'Tabela de Códigos e Valores'!$A:$M,2,FALSE)</f>
        <v>Auxiliar de limpeza - diurno - 44 horas semanais (segunda a sábado)</v>
      </c>
      <c r="G23" s="7" t="str">
        <f>VLOOKUP($E23,'Tabela de Códigos e Valores'!$A:$M,5,FALSE)</f>
        <v>Posto</v>
      </c>
      <c r="H23" s="7" t="str">
        <f>VLOOKUP($E23,'Tabela de Códigos e Valores'!$A:$M,6,FALSE)</f>
        <v>Mensal</v>
      </c>
      <c r="I23" s="180">
        <f>VLOOKUP($E23,'Tabela de Códigos e Valores'!$A:$M,7,FALSE)</f>
        <v>25.33</v>
      </c>
      <c r="J23" s="180">
        <f>VLOOKUP($E23,'Tabela de Códigos e Valores'!$A:$M,8,FALSE)</f>
        <v>0</v>
      </c>
      <c r="K23" s="284">
        <v>1</v>
      </c>
      <c r="L23" s="193">
        <f>IFERROR(VLOOKUP(E23,'Indicadores Financeiros'!$A$90:$J$92,10,FALSE),0)</f>
        <v>0</v>
      </c>
      <c r="M23" s="180">
        <f>VLOOKUP($E23,'Tabela de Códigos e Valores'!$A:$Z,16,FALSE)</f>
        <v>1717.2</v>
      </c>
      <c r="N23" s="180">
        <f>VLOOKUP($E23,'Tabela de Códigos e Valores'!$A:$Z,17,FALSE)</f>
        <v>1337.98</v>
      </c>
      <c r="O23" s="180">
        <f>VLOOKUP($E23,'Tabela de Códigos e Valores'!$A:$AAB,28,FALSE)</f>
        <v>719.23</v>
      </c>
      <c r="P23" s="180">
        <f>ROUND(IF($G23&lt;&gt;"M2",IF(VLOOKUP($E23,'Tabela de Códigos e Valores'!$A:$J,10,FALSE)*6%&gt;=VLOOKUP('Relatório Custo'!$A23,'Indicadores Financeiros'!$A$145:$I$208,9,FALSE)*'Relatório Custo'!I23,0,VLOOKUP('Relatório Custo'!$A23,'Indicadores Financeiros'!$A$145:$I$208,9,FALSE)*'Relatório Custo'!I23-VLOOKUP($E23,'Tabela de Códigos e Valores'!$A:$J,10,FALSE)*6%),0),2)</f>
        <v>175.09</v>
      </c>
      <c r="Q23" s="180">
        <f>VLOOKUP($E23,'Tabela de Códigos e Valores'!$A:$AAC,30,FALSE)</f>
        <v>62.81</v>
      </c>
      <c r="R23" s="180">
        <f>ROUND(ROUND(($M23+$N23+$O23+$P23+$Q23),2)*VLOOKUP($E23,'Tabela de Códigos e Valores'!$A:$AE,31,FALSE)/(1-VLOOKUP($E23,'Tabela de Códigos e Valores'!$A:$AE,31,FALSE)),2)</f>
        <v>547.13</v>
      </c>
      <c r="S23" s="24">
        <f t="shared" si="0"/>
        <v>4559.4400000000005</v>
      </c>
      <c r="T23" s="182">
        <f>VLOOKUP($A23,'Indicadores Financeiros'!$A$145:$J$208,8,FALSE)</f>
        <v>0.27810000000000001</v>
      </c>
      <c r="U23" s="24">
        <f t="shared" si="1"/>
        <v>5827.42</v>
      </c>
      <c r="V23" s="32">
        <f t="shared" si="2"/>
        <v>5827.42</v>
      </c>
      <c r="W23" s="240">
        <f>VLOOKUP($A23,'Indicadores Financeiros'!$A$145:$J$208,10)</f>
        <v>1</v>
      </c>
      <c r="X23" s="64">
        <f>U23*IF(H23="Mensal",('Indicadores Financeiros'!$F$14-W23+1),IF(H23="Trimestral",INT(('Indicadores Financeiros'!$F$14-W23+1)/3),INT(('Indicadores Financeiros'!$F$14-W23+1)/12)))*K23</f>
        <v>174822.6</v>
      </c>
      <c r="Y23" s="75"/>
      <c r="Z23" s="64">
        <f t="shared" si="3"/>
        <v>1717.2</v>
      </c>
      <c r="AA23" s="64">
        <f>ROUND('Indicadores Financeiros'!$J$71*$Z23,4)</f>
        <v>549.33230000000003</v>
      </c>
      <c r="AB23" s="25"/>
      <c r="AC23" s="23">
        <f t="shared" si="4"/>
        <v>230.06</v>
      </c>
      <c r="AD23" s="23">
        <f>ROUND((ROUND(VLOOKUP($E23,'Tabela de Códigos e Valores'!$A:$AB,26,FALSE)/I23,2)+ROUND(P23/I23,2)+ROUND(M23*'Indicadores Financeiros'!$J$61/I23,2)+ROUND(R23/I23,2))*(1+T23),2)</f>
        <v>74.819999999999993</v>
      </c>
      <c r="AE23" s="23">
        <f>IF(G23="posto",IF(OR(E23=690018,E23=690019),'Indicadores Financeiros'!$J$117,IF(OR(E23=690002,E23=690016,E23=690019,E23=690035,E23=690038,E23=690064),'Indicadores Financeiros'!$G$117/2*(1+T23),'Indicadores Financeiros'!$G$117*(1+T23))),0)</f>
        <v>0</v>
      </c>
      <c r="AF23" s="58"/>
      <c r="AG23" s="31"/>
      <c r="AH23" s="273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</row>
    <row r="24" spans="1:346" s="26" customFormat="1" ht="24" x14ac:dyDescent="0.25">
      <c r="A24" s="21">
        <v>1</v>
      </c>
      <c r="B24" s="21">
        <f>VLOOKUP($A24,'Indicadores Financeiros'!$A$145:$J$306,2,FALSE)</f>
        <v>328</v>
      </c>
      <c r="C24" s="22" t="str">
        <f>VLOOKUP($A24,'Indicadores Financeiros'!$A$145:$J$306,3,FALSE)</f>
        <v>São Paulo - Palácio da Justiça</v>
      </c>
      <c r="D24" s="353" t="str">
        <f>VLOOKUP($B24,BIP!A:E,5,FALSE)</f>
        <v>São Paulo</v>
      </c>
      <c r="E24" s="73">
        <v>690033</v>
      </c>
      <c r="F24" s="7" t="str">
        <f>VLOOKUP($E24,'Tabela de Códigos e Valores'!$A:$M,2,FALSE)</f>
        <v>Serviço de limpeza - plantonista - recesso judiciário (5 horas)</v>
      </c>
      <c r="G24" s="7" t="str">
        <f>VLOOKUP($E24,'Tabela de Códigos e Valores'!$A:$M,5,FALSE)</f>
        <v>Plantão - Recesso</v>
      </c>
      <c r="H24" s="7" t="str">
        <f>VLOOKUP($E24,'Tabela de Códigos e Valores'!$A:$M,6,FALSE)</f>
        <v>Anual</v>
      </c>
      <c r="I24" s="180">
        <f>VLOOKUP($E24,'Tabela de Códigos e Valores'!$A:$M,7,FALSE)</f>
        <v>6</v>
      </c>
      <c r="J24" s="180">
        <f>VLOOKUP($E24,'Tabela de Códigos e Valores'!$A:$M,8,FALSE)</f>
        <v>30</v>
      </c>
      <c r="K24" s="284">
        <v>1</v>
      </c>
      <c r="L24" s="193">
        <f>IFERROR(VLOOKUP(E24,'Indicadores Financeiros'!$A$90:$J$92,10,FALSE),0)</f>
        <v>0</v>
      </c>
      <c r="M24" s="180">
        <f>VLOOKUP($E24,'Tabela de Códigos e Valores'!$A:$Z,16,FALSE)</f>
        <v>468.29999999999995</v>
      </c>
      <c r="N24" s="180">
        <f>VLOOKUP($E24,'Tabela de Códigos e Valores'!$A:$Z,17,FALSE)</f>
        <v>364.8</v>
      </c>
      <c r="O24" s="180">
        <f>VLOOKUP($E24,'Tabela de Códigos e Valores'!$A:$AAB,28,FALSE)</f>
        <v>116.22</v>
      </c>
      <c r="P24" s="180">
        <f>ROUND(IF($G24&lt;&gt;"M2",IF(VLOOKUP($E24,'Tabela de Códigos e Valores'!$A:$J,10,FALSE)*6%&gt;=VLOOKUP('Relatório Custo'!$A24,'Indicadores Financeiros'!$A$145:$I$208,9,FALSE)*'Relatório Custo'!I24,0,VLOOKUP('Relatório Custo'!$A24,'Indicadores Financeiros'!$A$145:$I$208,9,FALSE)*'Relatório Custo'!I24-VLOOKUP($E24,'Tabela de Códigos e Valores'!$A:$J,10,FALSE)*6%),0),2)</f>
        <v>65.88</v>
      </c>
      <c r="Q24" s="180">
        <f>VLOOKUP($E24,'Tabela de Códigos e Valores'!$A:$AAC,30,FALSE)</f>
        <v>0</v>
      </c>
      <c r="R24" s="180">
        <f>ROUND(ROUND(($M24+$N24+$O24+$P24+$Q24),2)*VLOOKUP($E24,'Tabela de Códigos e Valores'!$A:$AE,31,FALSE)/(1-VLOOKUP($E24,'Tabela de Códigos e Valores'!$A:$AE,31,FALSE)),2)</f>
        <v>0</v>
      </c>
      <c r="S24" s="24">
        <f t="shared" si="0"/>
        <v>1015.1999999999999</v>
      </c>
      <c r="T24" s="182">
        <f>VLOOKUP($A24,'Indicadores Financeiros'!$A$145:$J$208,8,FALSE)</f>
        <v>0.27810000000000001</v>
      </c>
      <c r="U24" s="24">
        <f t="shared" si="1"/>
        <v>1297.53</v>
      </c>
      <c r="V24" s="32">
        <f t="shared" si="2"/>
        <v>1297.53</v>
      </c>
      <c r="W24" s="240">
        <f>VLOOKUP($A24,'Indicadores Financeiros'!$A$145:$J$208,10)</f>
        <v>1</v>
      </c>
      <c r="X24" s="64">
        <f>U24*IF(H24="Mensal",('Indicadores Financeiros'!$F$14-W24+1),IF(H24="Trimestral",INT(('Indicadores Financeiros'!$F$14-W24+1)/3),INT(('Indicadores Financeiros'!$F$14-W24+1)/12)))*K24</f>
        <v>2595.06</v>
      </c>
      <c r="Y24" s="75"/>
      <c r="Z24" s="64">
        <f t="shared" si="3"/>
        <v>0</v>
      </c>
      <c r="AA24" s="64">
        <f>ROUND('Indicadores Financeiros'!$J$71*$Z24,4)</f>
        <v>0</v>
      </c>
      <c r="AB24" s="25"/>
      <c r="AC24" s="23">
        <f>ROUND(IF(OR($G24="Posto",$G24="Plantão - Dom/Fer",$G24="Plantão - Sábado",$G24="Plantão - Recesso"),$U24/$I24,0),2)</f>
        <v>216.26</v>
      </c>
      <c r="AD24" s="23">
        <f>ROUND((ROUND(VLOOKUP($E24,'Tabela de Códigos e Valores'!$A:$AB,26,FALSE)/I24,2)+ROUND(P24/I24,2)+ROUND(M24*'Indicadores Financeiros'!$J$61/I24,2)+ROUND(R24/I24,2))*(1+T24),2)</f>
        <v>54.47</v>
      </c>
      <c r="AE24" s="23">
        <f>IF(G24="posto",IF(OR(E24=690018,E24=690019),'Indicadores Financeiros'!$J$117,IF(OR(E24=690002,E24=690016,E24=690019,E24=690035,E24=690038,E24=690064),'Indicadores Financeiros'!$G$117/2*(1+T24),'Indicadores Financeiros'!$G$117*(1+T24))),0)</f>
        <v>0</v>
      </c>
      <c r="AF24" s="58"/>
      <c r="AG24" s="31"/>
      <c r="AH24" s="273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</row>
    <row r="25" spans="1:346" s="26" customFormat="1" x14ac:dyDescent="0.25">
      <c r="A25" s="21">
        <v>1</v>
      </c>
      <c r="B25" s="21">
        <f>VLOOKUP($A25,'Indicadores Financeiros'!$A$145:$J$306,2,FALSE)</f>
        <v>328</v>
      </c>
      <c r="C25" s="22" t="str">
        <f>VLOOKUP($A25,'Indicadores Financeiros'!$A$145:$J$306,3,FALSE)</f>
        <v>São Paulo - Palácio da Justiça</v>
      </c>
      <c r="D25" s="353" t="str">
        <f>VLOOKUP($B25,BIP!A:E,5,FALSE)</f>
        <v>São Paulo</v>
      </c>
      <c r="E25" s="73">
        <v>690035</v>
      </c>
      <c r="F25" s="7" t="str">
        <f>VLOOKUP($E25,'Tabela de Códigos e Valores'!$A:$M,2,FALSE)</f>
        <v>Copeiro(a) - diurno - 24 horas semanais</v>
      </c>
      <c r="G25" s="7" t="str">
        <f>VLOOKUP($E25,'Tabela de Códigos e Valores'!$A:$M,5,FALSE)</f>
        <v>Posto</v>
      </c>
      <c r="H25" s="7" t="str">
        <f>VLOOKUP($E25,'Tabela de Códigos e Valores'!$A:$M,6,FALSE)</f>
        <v>Mensal</v>
      </c>
      <c r="I25" s="180">
        <f>VLOOKUP($E25,'Tabela de Códigos e Valores'!$A:$M,7,FALSE)</f>
        <v>21</v>
      </c>
      <c r="J25" s="180">
        <f>VLOOKUP($E25,'Tabela de Códigos e Valores'!$A:$M,8,FALSE)</f>
        <v>0</v>
      </c>
      <c r="K25" s="284">
        <v>1</v>
      </c>
      <c r="L25" s="193">
        <f>IFERROR(VLOOKUP(E25,'Indicadores Financeiros'!$A$90:$J$92,10,FALSE),0)</f>
        <v>0</v>
      </c>
      <c r="M25" s="180">
        <f>VLOOKUP($E25,'Tabela de Códigos e Valores'!$A:$Z,16,FALSE)</f>
        <v>1037.42</v>
      </c>
      <c r="N25" s="180">
        <f>VLOOKUP($E25,'Tabela de Códigos e Valores'!$A:$Z,17,FALSE)</f>
        <v>808.32</v>
      </c>
      <c r="O25" s="180">
        <f>VLOOKUP($E25,'Tabela de Códigos e Valores'!$A:$AAB,28,FALSE)</f>
        <v>228.59</v>
      </c>
      <c r="P25" s="180">
        <f>ROUND(IF($G25&lt;&gt;"M2",IF(VLOOKUP($E25,'Tabela de Códigos e Valores'!$A:$J,10,FALSE)*6%&gt;=VLOOKUP('Relatório Custo'!$A25,'Indicadores Financeiros'!$A$145:$I$208,9,FALSE)*'Relatório Custo'!I25,0,VLOOKUP('Relatório Custo'!$A25,'Indicadores Financeiros'!$A$145:$I$208,9,FALSE)*'Relatório Custo'!I25-VLOOKUP($E25,'Tabela de Códigos e Valores'!$A:$J,10,FALSE)*6%),0),2)</f>
        <v>168.33</v>
      </c>
      <c r="Q25" s="180">
        <f>VLOOKUP($E25,'Tabela de Códigos e Valores'!$A:$AAC,30,FALSE)</f>
        <v>62.81</v>
      </c>
      <c r="R25" s="180">
        <f>ROUND(ROUND(($M25+$N25+$O25+$P25+$Q25),2)*VLOOKUP($E25,'Tabela de Códigos e Valores'!$A:$AE,31,FALSE)/(1-VLOOKUP($E25,'Tabela de Códigos e Valores'!$A:$AE,31,FALSE)),2)</f>
        <v>0</v>
      </c>
      <c r="S25" s="24">
        <f t="shared" si="0"/>
        <v>2305.4700000000003</v>
      </c>
      <c r="T25" s="182">
        <f>VLOOKUP($A25,'Indicadores Financeiros'!$A$145:$J$208,8,FALSE)</f>
        <v>0.27810000000000001</v>
      </c>
      <c r="U25" s="24">
        <f t="shared" si="1"/>
        <v>2946.62</v>
      </c>
      <c r="V25" s="32">
        <f t="shared" si="2"/>
        <v>2946.62</v>
      </c>
      <c r="W25" s="240">
        <f>VLOOKUP($A25,'Indicadores Financeiros'!$A$145:$J$208,10)</f>
        <v>1</v>
      </c>
      <c r="X25" s="64">
        <f>U25*IF(H25="Mensal",('Indicadores Financeiros'!$F$14-W25+1),IF(H25="Trimestral",INT(('Indicadores Financeiros'!$F$14-W25+1)/3),INT(('Indicadores Financeiros'!$F$14-W25+1)/12)))*K25</f>
        <v>88398.599999999991</v>
      </c>
      <c r="Y25" s="75"/>
      <c r="Z25" s="64">
        <f t="shared" si="3"/>
        <v>1037.42</v>
      </c>
      <c r="AA25" s="64">
        <f>ROUND('Indicadores Financeiros'!$J$71*$Z25,4)</f>
        <v>331.8707</v>
      </c>
      <c r="AB25" s="25"/>
      <c r="AC25" s="23">
        <f t="shared" si="4"/>
        <v>140.32</v>
      </c>
      <c r="AD25" s="23">
        <f>ROUND((ROUND(VLOOKUP($E25,'Tabela de Códigos e Valores'!$A:$AB,26,FALSE)/I25,2)+ROUND(P25/I25,2)+ROUND(M25*'Indicadores Financeiros'!$J$61/I25,2)+ROUND(R25/I25,2))*(1+T25),2)</f>
        <v>20.18</v>
      </c>
      <c r="AE25" s="23">
        <f>IF(G25="posto",IF(OR(E25=690018,E25=690019),'Indicadores Financeiros'!$J$117,IF(OR(E25=690002,E25=690016,E25=690019,E25=690035,E25=690038,E25=690064),'Indicadores Financeiros'!$G$117/2*(1+T25),'Indicadores Financeiros'!$G$117*(1+T25))),0)</f>
        <v>0</v>
      </c>
      <c r="AF25" s="58"/>
      <c r="AG25" s="31"/>
      <c r="AH25" s="273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</row>
    <row r="26" spans="1:346" s="26" customFormat="1" ht="24" x14ac:dyDescent="0.25">
      <c r="A26" s="21">
        <v>1</v>
      </c>
      <c r="B26" s="21">
        <f>VLOOKUP($A26,'Indicadores Financeiros'!$A$145:$J$306,2,FALSE)</f>
        <v>328</v>
      </c>
      <c r="C26" s="22" t="str">
        <f>VLOOKUP($A26,'Indicadores Financeiros'!$A$145:$J$306,3,FALSE)</f>
        <v>São Paulo - Palácio da Justiça</v>
      </c>
      <c r="D26" s="353" t="str">
        <f>VLOOKUP($B26,BIP!A:E,5,FALSE)</f>
        <v>São Paulo</v>
      </c>
      <c r="E26" s="73">
        <v>690037</v>
      </c>
      <c r="F26" s="7" t="str">
        <f>VLOOKUP($E26,'Tabela de Códigos e Valores'!$A:$M,2,FALSE)</f>
        <v>Agente de Higienização (Tempo Integral) - (40%) - 44 horas semanais</v>
      </c>
      <c r="G26" s="7" t="str">
        <f>VLOOKUP($E26,'Tabela de Códigos e Valores'!$A:$M,5,FALSE)</f>
        <v>Posto</v>
      </c>
      <c r="H26" s="7" t="str">
        <f>VLOOKUP($E26,'Tabela de Códigos e Valores'!$A:$M,6,FALSE)</f>
        <v>Mensal</v>
      </c>
      <c r="I26" s="180">
        <f>VLOOKUP($E26,'Tabela de Códigos e Valores'!$A:$M,7,FALSE)</f>
        <v>21</v>
      </c>
      <c r="J26" s="180">
        <f>VLOOKUP($E26,'Tabela de Códigos e Valores'!$A:$M,8,FALSE)</f>
        <v>0</v>
      </c>
      <c r="K26" s="284">
        <v>1</v>
      </c>
      <c r="L26" s="193">
        <f>IFERROR(VLOOKUP(E26,'Indicadores Financeiros'!$A$90:$J$92,10,FALSE),0)</f>
        <v>0</v>
      </c>
      <c r="M26" s="180">
        <f>VLOOKUP($E26,'Tabela de Códigos e Valores'!$A:$Z,16,FALSE)</f>
        <v>2324.4</v>
      </c>
      <c r="N26" s="180">
        <f>VLOOKUP($E26,'Tabela de Códigos e Valores'!$A:$Z,17,FALSE)</f>
        <v>1811.09</v>
      </c>
      <c r="O26" s="180">
        <f>VLOOKUP($E26,'Tabela de Códigos e Valores'!$A:$AAB,28,FALSE)</f>
        <v>635.36</v>
      </c>
      <c r="P26" s="180">
        <f>ROUND(IF($G26&lt;&gt;"M2",IF(VLOOKUP($E26,'Tabela de Códigos e Valores'!$A:$J,10,FALSE)*6%&gt;=VLOOKUP('Relatório Custo'!$A26,'Indicadores Financeiros'!$A$145:$I$208,9,FALSE)*'Relatório Custo'!I26,0,VLOOKUP('Relatório Custo'!$A26,'Indicadores Financeiros'!$A$145:$I$208,9,FALSE)*'Relatório Custo'!I26-VLOOKUP($E26,'Tabela de Códigos e Valores'!$A:$J,10,FALSE)*6%),0),2)</f>
        <v>127.55</v>
      </c>
      <c r="Q26" s="180">
        <f>VLOOKUP($E26,'Tabela de Códigos e Valores'!$A:$AAC,30,FALSE)</f>
        <v>62.81</v>
      </c>
      <c r="R26" s="180">
        <f>ROUND(ROUND(($M26+$N26+$O26+$P26+$Q26),2)*VLOOKUP($E26,'Tabela de Códigos e Valores'!$A:$AE,31,FALSE)/(1-VLOOKUP($E26,'Tabela de Códigos e Valores'!$A:$AE,31,FALSE)),2)</f>
        <v>676.53</v>
      </c>
      <c r="S26" s="24">
        <f t="shared" si="0"/>
        <v>5637.74</v>
      </c>
      <c r="T26" s="182">
        <f>VLOOKUP($A26,'Indicadores Financeiros'!$A$145:$J$208,8,FALSE)</f>
        <v>0.27810000000000001</v>
      </c>
      <c r="U26" s="24">
        <f t="shared" si="1"/>
        <v>7205.6</v>
      </c>
      <c r="V26" s="32">
        <f t="shared" si="2"/>
        <v>7205.6</v>
      </c>
      <c r="W26" s="240">
        <f>VLOOKUP($A26,'Indicadores Financeiros'!$A$145:$J$208,10)</f>
        <v>1</v>
      </c>
      <c r="X26" s="64">
        <f>U26*IF(H26="Mensal",('Indicadores Financeiros'!$F$14-W26+1),IF(H26="Trimestral",INT(('Indicadores Financeiros'!$F$14-W26+1)/3),INT(('Indicadores Financeiros'!$F$14-W26+1)/12)))*K26</f>
        <v>216168</v>
      </c>
      <c r="Y26" s="75"/>
      <c r="Z26" s="64">
        <f t="shared" si="3"/>
        <v>2324.4</v>
      </c>
      <c r="AA26" s="64">
        <f>ROUND('Indicadores Financeiros'!$J$71*$Z26,4)</f>
        <v>743.57560000000001</v>
      </c>
      <c r="AB26" s="25"/>
      <c r="AC26" s="23">
        <f t="shared" si="4"/>
        <v>343.12</v>
      </c>
      <c r="AD26" s="23">
        <f>ROUND((ROUND(VLOOKUP($E26,'Tabela de Códigos e Valores'!$A:$AB,26,FALSE)/I26,2)+ROUND(P26/I26,2)+ROUND(M26*'Indicadores Financeiros'!$J$61/I26,2)+ROUND(R26/I26,2))*(1+T26),2)</f>
        <v>95.93</v>
      </c>
      <c r="AE26" s="23">
        <f>IF(G26="posto",IF(OR(E26=690018,E26=690019),'Indicadores Financeiros'!$J$117,IF(OR(E26=690002,E26=690016,E26=690019,E26=690035,E26=690038,E26=690064),'Indicadores Financeiros'!$G$117/2*(1+T26),'Indicadores Financeiros'!$G$117*(1+T26))),0)</f>
        <v>0</v>
      </c>
      <c r="AF26" s="58"/>
      <c r="AG26" s="31"/>
      <c r="AH26" s="273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</row>
    <row r="27" spans="1:346" s="26" customFormat="1" ht="24" x14ac:dyDescent="0.25">
      <c r="A27" s="21">
        <v>1</v>
      </c>
      <c r="B27" s="21">
        <f>VLOOKUP($A27,'Indicadores Financeiros'!$A$145:$J$306,2,FALSE)</f>
        <v>328</v>
      </c>
      <c r="C27" s="22" t="str">
        <f>VLOOKUP($A27,'Indicadores Financeiros'!$A$145:$J$306,3,FALSE)</f>
        <v>São Paulo - Palácio da Justiça</v>
      </c>
      <c r="D27" s="353" t="str">
        <f>VLOOKUP($B27,BIP!A:E,5,FALSE)</f>
        <v>São Paulo</v>
      </c>
      <c r="E27" s="73">
        <v>690038</v>
      </c>
      <c r="F27" s="7" t="str">
        <f>VLOOKUP($E27,'Tabela de Códigos e Valores'!$A:$M,2,FALSE)</f>
        <v>Agente de Higienização (Tempo Integral) - (40%) - 24 horas semanais</v>
      </c>
      <c r="G27" s="7" t="str">
        <f>VLOOKUP($E27,'Tabela de Códigos e Valores'!$A:$M,5,FALSE)</f>
        <v>Posto</v>
      </c>
      <c r="H27" s="7" t="str">
        <f>VLOOKUP($E27,'Tabela de Códigos e Valores'!$A:$M,6,FALSE)</f>
        <v>Mensal</v>
      </c>
      <c r="I27" s="180">
        <f>VLOOKUP($E27,'Tabela de Códigos e Valores'!$A:$M,7,FALSE)</f>
        <v>21</v>
      </c>
      <c r="J27" s="180">
        <f>VLOOKUP($E27,'Tabela de Códigos e Valores'!$A:$M,8,FALSE)</f>
        <v>0</v>
      </c>
      <c r="K27" s="284">
        <v>1</v>
      </c>
      <c r="L27" s="193">
        <f>IFERROR(VLOOKUP(E27,'Indicadores Financeiros'!$A$90:$J$92,10,FALSE),0)</f>
        <v>0</v>
      </c>
      <c r="M27" s="180">
        <f>VLOOKUP($E27,'Tabela de Códigos e Valores'!$A:$Z,16,FALSE)</f>
        <v>1637.52</v>
      </c>
      <c r="N27" s="180">
        <f>VLOOKUP($E27,'Tabela de Códigos e Valores'!$A:$Z,17,FALSE)</f>
        <v>1275.9000000000001</v>
      </c>
      <c r="O27" s="180">
        <f>VLOOKUP($E27,'Tabela de Códigos e Valores'!$A:$AAB,28,FALSE)</f>
        <v>228.59</v>
      </c>
      <c r="P27" s="180">
        <f>ROUND(IF($G27&lt;&gt;"M2",IF(VLOOKUP($E27,'Tabela de Códigos e Valores'!$A:$J,10,FALSE)*6%&gt;=VLOOKUP('Relatório Custo'!$A27,'Indicadores Financeiros'!$A$145:$I$208,9,FALSE)*'Relatório Custo'!I27,0,VLOOKUP('Relatório Custo'!$A27,'Indicadores Financeiros'!$A$145:$I$208,9,FALSE)*'Relatório Custo'!I27-VLOOKUP($E27,'Tabela de Códigos e Valores'!$A:$J,10,FALSE)*6%),0),2)</f>
        <v>168.76</v>
      </c>
      <c r="Q27" s="180">
        <f>VLOOKUP($E27,'Tabela de Códigos e Valores'!$A:$AAC,30,FALSE)</f>
        <v>62.81</v>
      </c>
      <c r="R27" s="180">
        <f>ROUND(ROUND(($M27+$N27+$O27+$P27+$Q27),2)*VLOOKUP($E27,'Tabela de Códigos e Valores'!$A:$AE,31,FALSE)/(1-VLOOKUP($E27,'Tabela de Códigos e Valores'!$A:$AE,31,FALSE)),2)</f>
        <v>460.03</v>
      </c>
      <c r="S27" s="24">
        <f t="shared" si="0"/>
        <v>3833.6100000000006</v>
      </c>
      <c r="T27" s="182">
        <f>VLOOKUP($A27,'Indicadores Financeiros'!$A$145:$J$208,8,FALSE)</f>
        <v>0.27810000000000001</v>
      </c>
      <c r="U27" s="24">
        <f t="shared" si="1"/>
        <v>4899.74</v>
      </c>
      <c r="V27" s="32">
        <f t="shared" si="2"/>
        <v>4899.74</v>
      </c>
      <c r="W27" s="240">
        <f>VLOOKUP($A27,'Indicadores Financeiros'!$A$145:$J$208,10)</f>
        <v>1</v>
      </c>
      <c r="X27" s="64">
        <f>U27*IF(H27="Mensal",('Indicadores Financeiros'!$F$14-W27+1),IF(H27="Trimestral",INT(('Indicadores Financeiros'!$F$14-W27+1)/3),INT(('Indicadores Financeiros'!$F$14-W27+1)/12)))*K27</f>
        <v>146992.19999999998</v>
      </c>
      <c r="Y27" s="75"/>
      <c r="Z27" s="64">
        <f t="shared" si="3"/>
        <v>1637.52</v>
      </c>
      <c r="AA27" s="64">
        <f>ROUND('Indicadores Financeiros'!$J$71*$Z27,4)</f>
        <v>523.84259999999995</v>
      </c>
      <c r="AB27" s="25"/>
      <c r="AC27" s="23">
        <f t="shared" si="4"/>
        <v>233.32</v>
      </c>
      <c r="AD27" s="23">
        <f>ROUND((ROUND(VLOOKUP($E27,'Tabela de Códigos e Valores'!$A:$AB,26,FALSE)/I27,2)+ROUND(P27/I27,2)+ROUND(M27*'Indicadores Financeiros'!$J$61/I27,2)+ROUND(R27/I27,2))*(1+T27),2)</f>
        <v>53.95</v>
      </c>
      <c r="AE27" s="23">
        <f>IF(G27="posto",IF(OR(E27=690018,E27=690019),'Indicadores Financeiros'!$J$117,IF(OR(E27=690002,E27=690016,E27=690019,E27=690035,E27=690038,E27=690064),'Indicadores Financeiros'!$G$117/2*(1+T27),'Indicadores Financeiros'!$G$117*(1+T27))),0)</f>
        <v>0</v>
      </c>
      <c r="AF27" s="58"/>
      <c r="AG27" s="31"/>
      <c r="AH27" s="273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</row>
    <row r="28" spans="1:346" s="26" customFormat="1" ht="24" x14ac:dyDescent="0.25">
      <c r="A28" s="21">
        <v>1</v>
      </c>
      <c r="B28" s="21">
        <f>VLOOKUP($A28,'Indicadores Financeiros'!$A$145:$J$306,2,FALSE)</f>
        <v>328</v>
      </c>
      <c r="C28" s="22" t="str">
        <f>VLOOKUP($A28,'Indicadores Financeiros'!$A$145:$J$306,3,FALSE)</f>
        <v>São Paulo - Palácio da Justiça</v>
      </c>
      <c r="D28" s="353" t="str">
        <f>VLOOKUP($B28,BIP!A:E,5,FALSE)</f>
        <v>São Paulo</v>
      </c>
      <c r="E28" s="73">
        <v>690054</v>
      </c>
      <c r="F28" s="7" t="str">
        <f>VLOOKUP($E28,'Tabela de Códigos e Valores'!$A:$M,2,FALSE)</f>
        <v>Líder até 10 subordinados - diurno - 44 horas semanais</v>
      </c>
      <c r="G28" s="7" t="str">
        <f>VLOOKUP($E28,'Tabela de Códigos e Valores'!$A:$M,5,FALSE)</f>
        <v>Posto</v>
      </c>
      <c r="H28" s="7" t="str">
        <f>VLOOKUP($E28,'Tabela de Códigos e Valores'!$A:$M,6,FALSE)</f>
        <v>Mensal</v>
      </c>
      <c r="I28" s="180">
        <f>VLOOKUP($E28,'Tabela de Códigos e Valores'!$A:$M,7,FALSE)</f>
        <v>21</v>
      </c>
      <c r="J28" s="180">
        <f>VLOOKUP($E28,'Tabela de Códigos e Valores'!$A:$M,8,FALSE)</f>
        <v>0</v>
      </c>
      <c r="K28" s="284">
        <v>1</v>
      </c>
      <c r="L28" s="193">
        <f>IFERROR(VLOOKUP(E28,'Indicadores Financeiros'!$A$90:$J$92,10,FALSE),0)</f>
        <v>0</v>
      </c>
      <c r="M28" s="180">
        <f>VLOOKUP($E28,'Tabela de Códigos e Valores'!$A:$Z,16,FALSE)</f>
        <v>1872.8</v>
      </c>
      <c r="N28" s="180">
        <f>VLOOKUP($E28,'Tabela de Códigos e Valores'!$A:$Z,17,FALSE)</f>
        <v>1459.22</v>
      </c>
      <c r="O28" s="180">
        <f>VLOOKUP($E28,'Tabela de Códigos e Valores'!$A:$AAB,28,FALSE)</f>
        <v>635.36</v>
      </c>
      <c r="P28" s="180">
        <f>ROUND(IF($G28&lt;&gt;"M2",IF(VLOOKUP($E28,'Tabela de Códigos e Valores'!$A:$J,10,FALSE)*6%&gt;=VLOOKUP('Relatório Custo'!$A28,'Indicadores Financeiros'!$A$145:$I$208,9,FALSE)*'Relatório Custo'!I28,0,VLOOKUP('Relatório Custo'!$A28,'Indicadores Financeiros'!$A$145:$I$208,9,FALSE)*'Relatório Custo'!I28-VLOOKUP($E28,'Tabela de Códigos e Valores'!$A:$J,10,FALSE)*6%),0),2)</f>
        <v>118.21</v>
      </c>
      <c r="Q28" s="180">
        <f>VLOOKUP($E28,'Tabela de Códigos e Valores'!$A:$AAC,30,FALSE)</f>
        <v>73.040000000000006</v>
      </c>
      <c r="R28" s="180">
        <f>ROUND(ROUND(($M28+$N28+$O28+$P28+$Q28),2)*VLOOKUP($E28,'Tabela de Códigos e Valores'!$A:$AE,31,FALSE)/(1-VLOOKUP($E28,'Tabela de Códigos e Valores'!$A:$AE,31,FALSE)),2)</f>
        <v>567.09</v>
      </c>
      <c r="S28" s="24">
        <f t="shared" si="0"/>
        <v>4725.72</v>
      </c>
      <c r="T28" s="182">
        <f>VLOOKUP($A28,'Indicadores Financeiros'!$A$145:$J$208,8,FALSE)</f>
        <v>0.27810000000000001</v>
      </c>
      <c r="U28" s="24">
        <f t="shared" si="1"/>
        <v>6039.94</v>
      </c>
      <c r="V28" s="32">
        <f t="shared" si="2"/>
        <v>6039.94</v>
      </c>
      <c r="W28" s="240">
        <f>VLOOKUP($A28,'Indicadores Financeiros'!$A$145:$J$208,10)</f>
        <v>1</v>
      </c>
      <c r="X28" s="64">
        <f>U28*IF(H28="Mensal",('Indicadores Financeiros'!$F$14-W28+1),IF(H28="Trimestral",INT(('Indicadores Financeiros'!$F$14-W28+1)/3),INT(('Indicadores Financeiros'!$F$14-W28+1)/12)))*K28</f>
        <v>181198.19999999998</v>
      </c>
      <c r="Y28" s="75"/>
      <c r="Z28" s="64">
        <f t="shared" si="3"/>
        <v>1872.8</v>
      </c>
      <c r="AA28" s="64">
        <f>ROUND('Indicadores Financeiros'!$J$71*$Z28,4)</f>
        <v>599.1087</v>
      </c>
      <c r="AB28" s="25"/>
      <c r="AC28" s="23">
        <f t="shared" si="4"/>
        <v>287.62</v>
      </c>
      <c r="AD28" s="23">
        <f>ROUND((ROUND(VLOOKUP($E28,'Tabela de Códigos e Valores'!$A:$AB,26,FALSE)/I28,2)+ROUND(P28/I28,2)+ROUND(M28*'Indicadores Financeiros'!$J$61/I28,2)+ROUND(R28/I28,2))*(1+T28),2)</f>
        <v>84.38</v>
      </c>
      <c r="AE28" s="23">
        <f>IF(G28="posto",IF(OR(E28=690018,E28=690019),'Indicadores Financeiros'!$J$117,IF(OR(E28=690002,E28=690016,E28=690019,E28=690035,E28=690038,E28=690064),'Indicadores Financeiros'!$G$117/2*(1+T28),'Indicadores Financeiros'!$G$117*(1+T28))),0)</f>
        <v>0</v>
      </c>
      <c r="AF28" s="58"/>
      <c r="AG28" s="31"/>
      <c r="AH28" s="273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</row>
    <row r="29" spans="1:346" s="26" customFormat="1" ht="24" x14ac:dyDescent="0.25">
      <c r="A29" s="21">
        <v>1</v>
      </c>
      <c r="B29" s="21">
        <f>VLOOKUP($A29,'Indicadores Financeiros'!$A$145:$J$306,2,FALSE)</f>
        <v>328</v>
      </c>
      <c r="C29" s="22" t="str">
        <f>VLOOKUP($A29,'Indicadores Financeiros'!$A$145:$J$306,3,FALSE)</f>
        <v>São Paulo - Palácio da Justiça</v>
      </c>
      <c r="D29" s="353" t="str">
        <f>VLOOKUP($B29,BIP!A:E,5,FALSE)</f>
        <v>São Paulo</v>
      </c>
      <c r="E29" s="73">
        <v>690055</v>
      </c>
      <c r="F29" s="7" t="str">
        <f>VLOOKUP($E29,'Tabela de Códigos e Valores'!$A:$M,2,FALSE)</f>
        <v>Líder até 10 subordinados - noturno - 44 horas semanais</v>
      </c>
      <c r="G29" s="7" t="str">
        <f>VLOOKUP($E29,'Tabela de Códigos e Valores'!$A:$M,5,FALSE)</f>
        <v>Posto</v>
      </c>
      <c r="H29" s="7" t="str">
        <f>VLOOKUP($E29,'Tabela de Códigos e Valores'!$A:$M,6,FALSE)</f>
        <v>Mensal</v>
      </c>
      <c r="I29" s="180">
        <f>VLOOKUP($E29,'Tabela de Códigos e Valores'!$A:$M,7,FALSE)</f>
        <v>21</v>
      </c>
      <c r="J29" s="180">
        <f>VLOOKUP($E29,'Tabela de Códigos e Valores'!$A:$M,8,FALSE)</f>
        <v>0</v>
      </c>
      <c r="K29" s="284">
        <v>1</v>
      </c>
      <c r="L29" s="193">
        <f>IFERROR(VLOOKUP(E29,'Indicadores Financeiros'!$A$90:$J$92,10,FALSE),0)</f>
        <v>0</v>
      </c>
      <c r="M29" s="180">
        <f>VLOOKUP($E29,'Tabela de Códigos e Valores'!$A:$Z,16,FALSE)</f>
        <v>2271.19</v>
      </c>
      <c r="N29" s="180">
        <f>VLOOKUP($E29,'Tabela de Códigos e Valores'!$A:$Z,17,FALSE)</f>
        <v>1769.63</v>
      </c>
      <c r="O29" s="180">
        <f>VLOOKUP($E29,'Tabela de Códigos e Valores'!$A:$AAB,28,FALSE)</f>
        <v>635.36</v>
      </c>
      <c r="P29" s="180">
        <f>ROUND(IF($G29&lt;&gt;"M2",IF(VLOOKUP($E29,'Tabela de Códigos e Valores'!$A:$J,10,FALSE)*6%&gt;=VLOOKUP('Relatório Custo'!$A29,'Indicadores Financeiros'!$A$145:$I$208,9,FALSE)*'Relatório Custo'!I29,0,VLOOKUP('Relatório Custo'!$A29,'Indicadores Financeiros'!$A$145:$I$208,9,FALSE)*'Relatório Custo'!I29-VLOOKUP($E29,'Tabela de Códigos e Valores'!$A:$J,10,FALSE)*6%),0),2)</f>
        <v>118.21</v>
      </c>
      <c r="Q29" s="180">
        <f>VLOOKUP($E29,'Tabela de Códigos e Valores'!$A:$AAC,30,FALSE)</f>
        <v>73.040000000000006</v>
      </c>
      <c r="R29" s="180">
        <f>ROUND(ROUND(($M29+$N29+$O29+$P29+$Q29),2)*VLOOKUP($E29,'Tabela de Códigos e Valores'!$A:$AE,31,FALSE)/(1-VLOOKUP($E29,'Tabela de Códigos e Valores'!$A:$AE,31,FALSE)),2)</f>
        <v>663.74</v>
      </c>
      <c r="S29" s="24">
        <f t="shared" si="0"/>
        <v>5531.17</v>
      </c>
      <c r="T29" s="182">
        <f>VLOOKUP($A29,'Indicadores Financeiros'!$A$145:$J$208,8,FALSE)</f>
        <v>0.27810000000000001</v>
      </c>
      <c r="U29" s="24">
        <f t="shared" si="1"/>
        <v>7069.39</v>
      </c>
      <c r="V29" s="32">
        <f t="shared" si="2"/>
        <v>7069.39</v>
      </c>
      <c r="W29" s="240">
        <f>VLOOKUP($A29,'Indicadores Financeiros'!$A$145:$J$208,10)</f>
        <v>1</v>
      </c>
      <c r="X29" s="64">
        <f>U29*IF(H29="Mensal",('Indicadores Financeiros'!$F$14-W29+1),IF(H29="Trimestral",INT(('Indicadores Financeiros'!$F$14-W29+1)/3),INT(('Indicadores Financeiros'!$F$14-W29+1)/12)))*K29</f>
        <v>212081.7</v>
      </c>
      <c r="Y29" s="75"/>
      <c r="Z29" s="64">
        <f t="shared" si="3"/>
        <v>2271.19</v>
      </c>
      <c r="AA29" s="64">
        <f>ROUND('Indicadores Financeiros'!$J$71*$Z29,4)</f>
        <v>726.55370000000005</v>
      </c>
      <c r="AB29" s="25"/>
      <c r="AC29" s="23">
        <f t="shared" si="4"/>
        <v>336.64</v>
      </c>
      <c r="AD29" s="23">
        <f>ROUND((ROUND(VLOOKUP($E29,'Tabela de Códigos e Valores'!$A:$AB,26,FALSE)/I29,2)+ROUND(P29/I29,2)+ROUND(M29*'Indicadores Financeiros'!$J$61/I29,2)+ROUND(R29/I29,2))*(1+T29),2)</f>
        <v>94.08</v>
      </c>
      <c r="AE29" s="23">
        <f>IF(G29="posto",IF(OR(E29=690018,E29=690019),'Indicadores Financeiros'!$J$117,IF(OR(E29=690002,E29=690016,E29=690019,E29=690035,E29=690038,E29=690064),'Indicadores Financeiros'!$G$117/2*(1+T29),'Indicadores Financeiros'!$G$117*(1+T29))),0)</f>
        <v>0</v>
      </c>
      <c r="AF29" s="58"/>
      <c r="AG29" s="31"/>
      <c r="AH29" s="273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</row>
    <row r="30" spans="1:346" s="26" customFormat="1" ht="24" x14ac:dyDescent="0.25">
      <c r="A30" s="21">
        <v>1</v>
      </c>
      <c r="B30" s="21">
        <f>VLOOKUP($A30,'Indicadores Financeiros'!$A$145:$J$306,2,FALSE)</f>
        <v>328</v>
      </c>
      <c r="C30" s="22" t="str">
        <f>VLOOKUP($A30,'Indicadores Financeiros'!$A$145:$J$306,3,FALSE)</f>
        <v>São Paulo - Palácio da Justiça</v>
      </c>
      <c r="D30" s="353" t="str">
        <f>VLOOKUP($B30,BIP!A:E,5,FALSE)</f>
        <v>São Paulo</v>
      </c>
      <c r="E30" s="73">
        <v>690056</v>
      </c>
      <c r="F30" s="7" t="str">
        <f>VLOOKUP($E30,'Tabela de Códigos e Valores'!$A:$M,2,FALSE)</f>
        <v>Encarregado(a) 11 ou mais subordinados - diurno - 44 horas semanais</v>
      </c>
      <c r="G30" s="7" t="str">
        <f>VLOOKUP($E30,'Tabela de Códigos e Valores'!$A:$M,5,FALSE)</f>
        <v>Posto</v>
      </c>
      <c r="H30" s="7" t="str">
        <f>VLOOKUP($E30,'Tabela de Códigos e Valores'!$A:$M,6,FALSE)</f>
        <v>Mensal</v>
      </c>
      <c r="I30" s="180">
        <f>VLOOKUP($E30,'Tabela de Códigos e Valores'!$A:$M,7,FALSE)</f>
        <v>21</v>
      </c>
      <c r="J30" s="180">
        <f>VLOOKUP($E30,'Tabela de Códigos e Valores'!$A:$M,8,FALSE)</f>
        <v>0</v>
      </c>
      <c r="K30" s="284">
        <v>1</v>
      </c>
      <c r="L30" s="193">
        <f>IFERROR(VLOOKUP(E30,'Indicadores Financeiros'!$A$90:$J$92,10,FALSE),0)</f>
        <v>0</v>
      </c>
      <c r="M30" s="180">
        <f>VLOOKUP($E30,'Tabela de Códigos e Valores'!$A:$Z,16,FALSE)</f>
        <v>2247.37</v>
      </c>
      <c r="N30" s="180">
        <f>VLOOKUP($E30,'Tabela de Códigos e Valores'!$A:$Z,17,FALSE)</f>
        <v>1751.07</v>
      </c>
      <c r="O30" s="180">
        <f>VLOOKUP($E30,'Tabela de Códigos e Valores'!$A:$AAB,28,FALSE)</f>
        <v>635.36</v>
      </c>
      <c r="P30" s="180">
        <f>ROUND(IF($G30&lt;&gt;"M2",IF(VLOOKUP($E30,'Tabela de Códigos e Valores'!$A:$J,10,FALSE)*6%&gt;=VLOOKUP('Relatório Custo'!$A30,'Indicadores Financeiros'!$A$145:$I$208,9,FALSE)*'Relatório Custo'!I30,0,VLOOKUP('Relatório Custo'!$A30,'Indicadores Financeiros'!$A$145:$I$208,9,FALSE)*'Relatório Custo'!I30-VLOOKUP($E30,'Tabela de Códigos e Valores'!$A:$J,10,FALSE)*6%),0),2)</f>
        <v>95.74</v>
      </c>
      <c r="Q30" s="180">
        <f>VLOOKUP($E30,'Tabela de Códigos e Valores'!$A:$AAC,30,FALSE)</f>
        <v>73.040000000000006</v>
      </c>
      <c r="R30" s="180">
        <f>ROUND(ROUND(($M30+$N30+$O30+$P30+$Q30),2)*VLOOKUP($E30,'Tabela de Códigos e Valores'!$A:$AE,31,FALSE)/(1-VLOOKUP($E30,'Tabela de Códigos e Valores'!$A:$AE,31,FALSE)),2)</f>
        <v>654.9</v>
      </c>
      <c r="S30" s="24">
        <f t="shared" si="0"/>
        <v>5457.4799999999987</v>
      </c>
      <c r="T30" s="182">
        <f>VLOOKUP($A30,'Indicadores Financeiros'!$A$145:$J$208,8,FALSE)</f>
        <v>0.27810000000000001</v>
      </c>
      <c r="U30" s="24">
        <f t="shared" si="1"/>
        <v>6975.21</v>
      </c>
      <c r="V30" s="32">
        <f t="shared" si="2"/>
        <v>6975.21</v>
      </c>
      <c r="W30" s="240">
        <f>VLOOKUP($A30,'Indicadores Financeiros'!$A$145:$J$208,10)</f>
        <v>1</v>
      </c>
      <c r="X30" s="64">
        <f>U30*IF(H30="Mensal",('Indicadores Financeiros'!$F$14-W30+1),IF(H30="Trimestral",INT(('Indicadores Financeiros'!$F$14-W30+1)/3),INT(('Indicadores Financeiros'!$F$14-W30+1)/12)))*K30</f>
        <v>209256.3</v>
      </c>
      <c r="Y30" s="75"/>
      <c r="Z30" s="64">
        <f t="shared" si="3"/>
        <v>2247.37</v>
      </c>
      <c r="AA30" s="64">
        <f>ROUND('Indicadores Financeiros'!$J$71*$Z30,4)</f>
        <v>718.93370000000004</v>
      </c>
      <c r="AB30" s="25"/>
      <c r="AC30" s="23">
        <f t="shared" si="4"/>
        <v>332.15</v>
      </c>
      <c r="AD30" s="23">
        <f>ROUND((ROUND(VLOOKUP($E30,'Tabela de Códigos e Valores'!$A:$AB,26,FALSE)/I30,2)+ROUND(P30/I30,2)+ROUND(M30*'Indicadores Financeiros'!$J$61/I30,2)+ROUND(R30/I30,2))*(1+T30),2)</f>
        <v>91.95</v>
      </c>
      <c r="AE30" s="23">
        <f>IF(G30="posto",IF(OR(E30=690018,E30=690019),'Indicadores Financeiros'!$J$117,IF(OR(E30=690002,E30=690016,E30=690019,E30=690035,E30=690038,E30=690064),'Indicadores Financeiros'!$G$117/2*(1+T30),'Indicadores Financeiros'!$G$117*(1+T30))),0)</f>
        <v>0</v>
      </c>
      <c r="AF30" s="58"/>
      <c r="AG30" s="31"/>
      <c r="AH30" s="273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</row>
    <row r="31" spans="1:346" s="26" customFormat="1" ht="24" x14ac:dyDescent="0.25">
      <c r="A31" s="21">
        <v>1</v>
      </c>
      <c r="B31" s="21">
        <f>VLOOKUP($A31,'Indicadores Financeiros'!$A$145:$J$306,2,FALSE)</f>
        <v>328</v>
      </c>
      <c r="C31" s="22" t="str">
        <f>VLOOKUP($A31,'Indicadores Financeiros'!$A$145:$J$306,3,FALSE)</f>
        <v>São Paulo - Palácio da Justiça</v>
      </c>
      <c r="D31" s="353" t="str">
        <f>VLOOKUP($B31,BIP!A:E,5,FALSE)</f>
        <v>São Paulo</v>
      </c>
      <c r="E31" s="73">
        <v>690057</v>
      </c>
      <c r="F31" s="7" t="str">
        <f>VLOOKUP($E31,'Tabela de Códigos e Valores'!$A:$M,2,FALSE)</f>
        <v>Encarregado(a) 11 ou mais subordinados - noturno - 44 horas semanais</v>
      </c>
      <c r="G31" s="7" t="str">
        <f>VLOOKUP($E31,'Tabela de Códigos e Valores'!$A:$M,5,FALSE)</f>
        <v>Posto</v>
      </c>
      <c r="H31" s="7" t="str">
        <f>VLOOKUP($E31,'Tabela de Códigos e Valores'!$A:$M,6,FALSE)</f>
        <v>Mensal</v>
      </c>
      <c r="I31" s="180">
        <f>VLOOKUP($E31,'Tabela de Códigos e Valores'!$A:$M,7,FALSE)</f>
        <v>21</v>
      </c>
      <c r="J31" s="180">
        <f>VLOOKUP($E31,'Tabela de Códigos e Valores'!$A:$M,8,FALSE)</f>
        <v>0</v>
      </c>
      <c r="K31" s="284">
        <v>1</v>
      </c>
      <c r="L31" s="193">
        <f>IFERROR(VLOOKUP(E31,'Indicadores Financeiros'!$A$90:$J$92,10,FALSE),0)</f>
        <v>0</v>
      </c>
      <c r="M31" s="180">
        <f>VLOOKUP($E31,'Tabela de Códigos e Valores'!$A:$Z,16,FALSE)</f>
        <v>2725.45</v>
      </c>
      <c r="N31" s="180">
        <f>VLOOKUP($E31,'Tabela de Códigos e Valores'!$A:$Z,17,FALSE)</f>
        <v>2123.58</v>
      </c>
      <c r="O31" s="180">
        <f>VLOOKUP($E31,'Tabela de Códigos e Valores'!$A:$AAB,28,FALSE)</f>
        <v>635.36</v>
      </c>
      <c r="P31" s="180">
        <f>ROUND(IF($G31&lt;&gt;"M2",IF(VLOOKUP($E31,'Tabela de Códigos e Valores'!$A:$J,10,FALSE)*6%&gt;=VLOOKUP('Relatório Custo'!$A31,'Indicadores Financeiros'!$A$145:$I$208,9,FALSE)*'Relatório Custo'!I31,0,VLOOKUP('Relatório Custo'!$A31,'Indicadores Financeiros'!$A$145:$I$208,9,FALSE)*'Relatório Custo'!I31-VLOOKUP($E31,'Tabela de Códigos e Valores'!$A:$J,10,FALSE)*6%),0),2)</f>
        <v>95.74</v>
      </c>
      <c r="Q31" s="180">
        <f>VLOOKUP($E31,'Tabela de Códigos e Valores'!$A:$AAC,30,FALSE)</f>
        <v>73.040000000000006</v>
      </c>
      <c r="R31" s="180">
        <f>ROUND(ROUND(($M31+$N31+$O31+$P31+$Q31),2)*VLOOKUP($E31,'Tabela de Códigos e Valores'!$A:$AE,31,FALSE)/(1-VLOOKUP($E31,'Tabela de Códigos e Valores'!$A:$AE,31,FALSE)),2)</f>
        <v>770.89</v>
      </c>
      <c r="S31" s="24">
        <f t="shared" si="0"/>
        <v>6424.0599999999995</v>
      </c>
      <c r="T31" s="182">
        <f>VLOOKUP($A31,'Indicadores Financeiros'!$A$145:$J$208,8,FALSE)</f>
        <v>0.27810000000000001</v>
      </c>
      <c r="U31" s="24">
        <f t="shared" si="1"/>
        <v>8210.59</v>
      </c>
      <c r="V31" s="32">
        <f t="shared" si="2"/>
        <v>8210.59</v>
      </c>
      <c r="W31" s="240">
        <f>VLOOKUP($A31,'Indicadores Financeiros'!$A$145:$J$208,10)</f>
        <v>1</v>
      </c>
      <c r="X31" s="64">
        <f>U31*IF(H31="Mensal",('Indicadores Financeiros'!$F$14-W31+1),IF(H31="Trimestral",INT(('Indicadores Financeiros'!$F$14-W31+1)/3),INT(('Indicadores Financeiros'!$F$14-W31+1)/12)))*K31</f>
        <v>246317.7</v>
      </c>
      <c r="Y31" s="75"/>
      <c r="Z31" s="64">
        <f t="shared" si="3"/>
        <v>2725.45</v>
      </c>
      <c r="AA31" s="64">
        <f>ROUND('Indicadores Financeiros'!$J$71*$Z31,4)</f>
        <v>871.87149999999997</v>
      </c>
      <c r="AB31" s="25"/>
      <c r="AC31" s="23">
        <f t="shared" si="4"/>
        <v>390.98</v>
      </c>
      <c r="AD31" s="23">
        <f>ROUND((ROUND(VLOOKUP($E31,'Tabela de Códigos e Valores'!$A:$AB,26,FALSE)/I31,2)+ROUND(P31/I31,2)+ROUND(M31*'Indicadores Financeiros'!$J$61/I31,2)+ROUND(R31/I31,2))*(1+T31),2)</f>
        <v>103.58</v>
      </c>
      <c r="AE31" s="23">
        <f>IF(G31="posto",IF(OR(E31=690018,E31=690019),'Indicadores Financeiros'!$J$117,IF(OR(E31=690002,E31=690016,E31=690019,E31=690035,E31=690038,E31=690064),'Indicadores Financeiros'!$G$117/2*(1+T31),'Indicadores Financeiros'!$G$117*(1+T31))),0)</f>
        <v>0</v>
      </c>
      <c r="AF31" s="58"/>
      <c r="AG31" s="31"/>
      <c r="AH31" s="273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</row>
    <row r="32" spans="1:346" s="26" customFormat="1" ht="24" x14ac:dyDescent="0.25">
      <c r="A32" s="21">
        <v>1</v>
      </c>
      <c r="B32" s="21">
        <f>VLOOKUP($A32,'Indicadores Financeiros'!$A$145:$J$306,2,FALSE)</f>
        <v>328</v>
      </c>
      <c r="C32" s="22" t="str">
        <f>VLOOKUP($A32,'Indicadores Financeiros'!$A$145:$J$306,3,FALSE)</f>
        <v>São Paulo - Palácio da Justiça</v>
      </c>
      <c r="D32" s="353" t="str">
        <f>VLOOKUP($B32,BIP!A:E,5,FALSE)</f>
        <v>São Paulo</v>
      </c>
      <c r="E32" s="73">
        <v>690058</v>
      </c>
      <c r="F32" s="7" t="str">
        <f>VLOOKUP($E32,'Tabela de Códigos e Valores'!$A:$M,2,FALSE)</f>
        <v>Serviço de limpeza - plantonista - (Agente de Higienização - 40%) - sábado - 8 horas/dia</v>
      </c>
      <c r="G32" s="7" t="str">
        <f>VLOOKUP($E32,'Tabela de Códigos e Valores'!$A:$M,5,FALSE)</f>
        <v>Plantão - Sábado</v>
      </c>
      <c r="H32" s="7" t="str">
        <f>VLOOKUP($E32,'Tabela de Códigos e Valores'!$A:$M,6,FALSE)</f>
        <v>Mensal</v>
      </c>
      <c r="I32" s="180">
        <f>VLOOKUP($E32,'Tabela de Códigos e Valores'!$A:$M,7,FALSE)</f>
        <v>5</v>
      </c>
      <c r="J32" s="180">
        <f>VLOOKUP($E32,'Tabela de Códigos e Valores'!$A:$M,8,FALSE)</f>
        <v>40</v>
      </c>
      <c r="K32" s="284">
        <v>1</v>
      </c>
      <c r="L32" s="193">
        <f>IFERROR(VLOOKUP(E32,'Indicadores Financeiros'!$A$90:$J$92,10,FALSE),0)</f>
        <v>0</v>
      </c>
      <c r="M32" s="180">
        <f>VLOOKUP($E32,'Tabela de Códigos e Valores'!$A:$Z,16,FALSE)</f>
        <v>634</v>
      </c>
      <c r="N32" s="180">
        <f>VLOOKUP($E32,'Tabela de Códigos e Valores'!$A:$Z,17,FALSE)</f>
        <v>494</v>
      </c>
      <c r="O32" s="180">
        <f>VLOOKUP($E32,'Tabela de Códigos e Valores'!$A:$AAB,28,FALSE)</f>
        <v>96.85</v>
      </c>
      <c r="P32" s="180">
        <f>ROUND(IF($G32&lt;&gt;"M2",IF(VLOOKUP($E32,'Tabela de Códigos e Valores'!$A:$J,10,FALSE)*6%&gt;=VLOOKUP('Relatório Custo'!$A32,'Indicadores Financeiros'!$A$145:$I$208,9,FALSE)*'Relatório Custo'!I32,0,VLOOKUP('Relatório Custo'!$A32,'Indicadores Financeiros'!$A$145:$I$208,9,FALSE)*'Relatório Custo'!I32-VLOOKUP($E32,'Tabela de Códigos e Valores'!$A:$J,10,FALSE)*6%),0),2)</f>
        <v>54.9</v>
      </c>
      <c r="Q32" s="180">
        <f>VLOOKUP($E32,'Tabela de Códigos e Valores'!$A:$AAC,30,FALSE)</f>
        <v>0</v>
      </c>
      <c r="R32" s="180">
        <f>ROUND(ROUND(($M32+$N32+$O32+$P32+$Q32),2)*VLOOKUP($E32,'Tabela de Códigos e Valores'!$A:$AE,31,FALSE)/(1-VLOOKUP($E32,'Tabela de Códigos e Valores'!$A:$AE,31,FALSE)),2)</f>
        <v>0</v>
      </c>
      <c r="S32" s="24">
        <f t="shared" si="0"/>
        <v>1279.75</v>
      </c>
      <c r="T32" s="182">
        <f>VLOOKUP($A32,'Indicadores Financeiros'!$A$145:$J$208,8,FALSE)</f>
        <v>0.27810000000000001</v>
      </c>
      <c r="U32" s="24">
        <f t="shared" ref="U32:U33" si="6">ROUND(S32*(1+T32),2)</f>
        <v>1635.65</v>
      </c>
      <c r="V32" s="32">
        <f t="shared" ref="V32:V33" si="7">ROUND(U32*K32,2)</f>
        <v>1635.65</v>
      </c>
      <c r="W32" s="240">
        <f>VLOOKUP($A32,'Indicadores Financeiros'!$A$145:$J$208,10)</f>
        <v>1</v>
      </c>
      <c r="X32" s="64">
        <f>U32*IF(H32="Mensal",('Indicadores Financeiros'!$F$14-W32+1),IF(H32="Trimestral",INT(('Indicadores Financeiros'!$F$14-W32+1)/3),INT(('Indicadores Financeiros'!$F$14-W32+1)/12)))*K32</f>
        <v>49069.5</v>
      </c>
      <c r="Y32" s="75"/>
      <c r="Z32" s="64">
        <f t="shared" ref="Z32:Z33" si="8">IF(G32="Posto",M32,0)*K32</f>
        <v>0</v>
      </c>
      <c r="AA32" s="64">
        <f>ROUND('Indicadores Financeiros'!$J$71*$Z32,4)</f>
        <v>0</v>
      </c>
      <c r="AB32" s="25"/>
      <c r="AC32" s="23">
        <f t="shared" ref="AC32:AC33" si="9">ROUND(IF(OR($G32="Posto",$G32="Plantão - Dom/Fer",$G32="Plantão - Sábado",$G32="Plantão - Recesso"),$U32/$I32,0),2)</f>
        <v>327.13</v>
      </c>
      <c r="AD32" s="23">
        <f>ROUND((ROUND(VLOOKUP($E32,'Tabela de Códigos e Valores'!$A:$AB,26,FALSE)/I32,2)+ROUND(P32/I32,2)+ROUND(M32*'Indicadores Financeiros'!$J$61/I32,2)+ROUND(R32/I32,2))*(1+T32),2)</f>
        <v>64.260000000000005</v>
      </c>
      <c r="AE32" s="23">
        <f>IF(G32="posto",IF(OR(E32=690018,E32=690019),'Indicadores Financeiros'!$J$117,IF(OR(E32=690002,E32=690016,E32=690019,E32=690035,E32=690038,E32=690064),'Indicadores Financeiros'!$G$117/2*(1+T32),'Indicadores Financeiros'!$G$117*(1+T32))),0)</f>
        <v>0</v>
      </c>
      <c r="AF32" s="58"/>
      <c r="AG32" s="31"/>
      <c r="AH32" s="273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</row>
    <row r="33" spans="1:346" s="26" customFormat="1" ht="36" x14ac:dyDescent="0.25">
      <c r="A33" s="21">
        <v>1</v>
      </c>
      <c r="B33" s="21">
        <f>VLOOKUP($A33,'Indicadores Financeiros'!$A$145:$J$306,2,FALSE)</f>
        <v>328</v>
      </c>
      <c r="C33" s="22" t="str">
        <f>VLOOKUP($A33,'Indicadores Financeiros'!$A$145:$J$306,3,FALSE)</f>
        <v>São Paulo - Palácio da Justiça</v>
      </c>
      <c r="D33" s="353" t="str">
        <f>VLOOKUP($B33,BIP!A:E,5,FALSE)</f>
        <v>São Paulo</v>
      </c>
      <c r="E33" s="73">
        <v>690059</v>
      </c>
      <c r="F33" s="7" t="str">
        <f>VLOOKUP($E33,'Tabela de Códigos e Valores'!$A:$M,2,FALSE)</f>
        <v>Serviço de limpeza - plantonista - (Agente de Higienização - 40%) - domingos e feriados - 8 horas/dia</v>
      </c>
      <c r="G33" s="7" t="str">
        <f>VLOOKUP($E33,'Tabela de Códigos e Valores'!$A:$M,5,FALSE)</f>
        <v>Plantão - Dom/Fer</v>
      </c>
      <c r="H33" s="7" t="str">
        <f>VLOOKUP($E33,'Tabela de Códigos e Valores'!$A:$M,6,FALSE)</f>
        <v>Mensal</v>
      </c>
      <c r="I33" s="180">
        <f>VLOOKUP($E33,'Tabela de Códigos e Valores'!$A:$M,7,FALSE)</f>
        <v>6</v>
      </c>
      <c r="J33" s="180">
        <f>VLOOKUP($E33,'Tabela de Códigos e Valores'!$A:$M,8,FALSE)</f>
        <v>48</v>
      </c>
      <c r="K33" s="284">
        <v>1</v>
      </c>
      <c r="L33" s="193">
        <f>IFERROR(VLOOKUP(E33,'Indicadores Financeiros'!$A$90:$J$92,10,FALSE),0)</f>
        <v>0</v>
      </c>
      <c r="M33" s="180">
        <f>VLOOKUP($E33,'Tabela de Códigos e Valores'!$A:$Z,16,FALSE)</f>
        <v>1014.24</v>
      </c>
      <c r="N33" s="180">
        <f>VLOOKUP($E33,'Tabela de Códigos e Valores'!$A:$Z,17,FALSE)</f>
        <v>790.08</v>
      </c>
      <c r="O33" s="180">
        <f>VLOOKUP($E33,'Tabela de Códigos e Valores'!$A:$AAB,28,FALSE)</f>
        <v>116.22</v>
      </c>
      <c r="P33" s="180">
        <f>ROUND(IF($G33&lt;&gt;"M2",IF(VLOOKUP($E33,'Tabela de Códigos e Valores'!$A:$J,10,FALSE)*6%&gt;=VLOOKUP('Relatório Custo'!$A33,'Indicadores Financeiros'!$A$145:$I$208,9,FALSE)*'Relatório Custo'!I33,0,VLOOKUP('Relatório Custo'!$A33,'Indicadores Financeiros'!$A$145:$I$208,9,FALSE)*'Relatório Custo'!I33-VLOOKUP($E33,'Tabela de Códigos e Valores'!$A:$J,10,FALSE)*6%),0),2)</f>
        <v>65.88</v>
      </c>
      <c r="Q33" s="180">
        <f>VLOOKUP($E33,'Tabela de Códigos e Valores'!$A:$AAC,30,FALSE)</f>
        <v>0</v>
      </c>
      <c r="R33" s="180">
        <f>ROUND(ROUND(($M33+$N33+$O33+$P33+$Q33),2)*VLOOKUP($E33,'Tabela de Códigos e Valores'!$A:$AE,31,FALSE)/(1-VLOOKUP($E33,'Tabela de Códigos e Valores'!$A:$AE,31,FALSE)),2)</f>
        <v>0</v>
      </c>
      <c r="S33" s="24">
        <f t="shared" si="0"/>
        <v>1986.42</v>
      </c>
      <c r="T33" s="182">
        <f>VLOOKUP($A33,'Indicadores Financeiros'!$A$145:$J$208,8,FALSE)</f>
        <v>0.27810000000000001</v>
      </c>
      <c r="U33" s="24">
        <f t="shared" si="6"/>
        <v>2538.84</v>
      </c>
      <c r="V33" s="32">
        <f t="shared" si="7"/>
        <v>2538.84</v>
      </c>
      <c r="W33" s="240">
        <f>VLOOKUP($A33,'Indicadores Financeiros'!$A$145:$J$208,10)</f>
        <v>1</v>
      </c>
      <c r="X33" s="64">
        <f>U33*IF(H33="Mensal",('Indicadores Financeiros'!$F$14-W33+1),IF(H33="Trimestral",INT(('Indicadores Financeiros'!$F$14-W33+1)/3),INT(('Indicadores Financeiros'!$F$14-W33+1)/12)))*K33</f>
        <v>76165.200000000012</v>
      </c>
      <c r="Y33" s="75"/>
      <c r="Z33" s="64">
        <f t="shared" si="8"/>
        <v>0</v>
      </c>
      <c r="AA33" s="64">
        <f>ROUND('Indicadores Financeiros'!$J$71*$Z33,4)</f>
        <v>0</v>
      </c>
      <c r="AB33" s="25"/>
      <c r="AC33" s="23">
        <f t="shared" si="9"/>
        <v>423.14</v>
      </c>
      <c r="AD33" s="23">
        <f>ROUND((ROUND(VLOOKUP($E33,'Tabela de Códigos e Valores'!$A:$AB,26,FALSE)/I33,2)+ROUND(P33/I33,2)+ROUND(M33*'Indicadores Financeiros'!$J$61/I33,2)+ROUND(R33/I33,2))*(1+T33),2)</f>
        <v>72.75</v>
      </c>
      <c r="AE33" s="23">
        <f>IF(G33="posto",IF(OR(E33=690018,E33=690019),'Indicadores Financeiros'!$J$117,IF(OR(E33=690002,E33=690016,E33=690019,E33=690035,E33=690038,E33=690064),'Indicadores Financeiros'!$G$117/2*(1+T33),'Indicadores Financeiros'!$G$117*(1+T33))),0)</f>
        <v>0</v>
      </c>
      <c r="AF33" s="58"/>
      <c r="AG33" s="31"/>
      <c r="AH33" s="273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</row>
    <row r="34" spans="1:346" s="26" customFormat="1" ht="24" x14ac:dyDescent="0.25">
      <c r="A34" s="21">
        <v>1</v>
      </c>
      <c r="B34" s="21">
        <f>VLOOKUP($A34,'Indicadores Financeiros'!$A$145:$J$306,2,FALSE)</f>
        <v>328</v>
      </c>
      <c r="C34" s="22" t="str">
        <f>VLOOKUP($A34,'Indicadores Financeiros'!$A$145:$J$306,3,FALSE)</f>
        <v>São Paulo - Palácio da Justiça</v>
      </c>
      <c r="D34" s="353" t="str">
        <f>VLOOKUP($B34,BIP!A:E,5,FALSE)</f>
        <v>São Paulo</v>
      </c>
      <c r="E34" s="73">
        <v>690062</v>
      </c>
      <c r="F34" s="7" t="str">
        <f>VLOOKUP($E34,'Tabela de Códigos e Valores'!$A:$M,2,FALSE)</f>
        <v>Agente de Higienização (Tempo Integral) - (40%) - 44 horas semanais - noturno</v>
      </c>
      <c r="G34" s="7" t="str">
        <f>VLOOKUP($E34,'Tabela de Códigos e Valores'!$A:$M,5,FALSE)</f>
        <v>Posto</v>
      </c>
      <c r="H34" s="7" t="str">
        <f>VLOOKUP($E34,'Tabela de Códigos e Valores'!$A:$M,6,FALSE)</f>
        <v>Mensal</v>
      </c>
      <c r="I34" s="180">
        <f>VLOOKUP($E34,'Tabela de Códigos e Valores'!$A:$M,7,FALSE)</f>
        <v>21</v>
      </c>
      <c r="J34" s="180">
        <f>VLOOKUP($E34,'Tabela de Códigos e Valores'!$A:$M,8,FALSE)</f>
        <v>0</v>
      </c>
      <c r="K34" s="284">
        <v>1</v>
      </c>
      <c r="L34" s="193">
        <f>IFERROR(VLOOKUP(E34,'Indicadores Financeiros'!$A$90:$J$92,10,FALSE),0)</f>
        <v>0</v>
      </c>
      <c r="M34" s="180">
        <f>VLOOKUP($E34,'Tabela de Códigos e Valores'!$A:$Z,16,FALSE)</f>
        <v>2818.8599999999997</v>
      </c>
      <c r="N34" s="180">
        <f>VLOOKUP($E34,'Tabela de Códigos e Valores'!$A:$Z,17,FALSE)</f>
        <v>2196.36</v>
      </c>
      <c r="O34" s="180">
        <f>VLOOKUP($E34,'Tabela de Códigos e Valores'!$A:$AAB,28,FALSE)</f>
        <v>635.36</v>
      </c>
      <c r="P34" s="180">
        <f>ROUND(IF($G34&lt;&gt;"M2",IF(VLOOKUP($E34,'Tabela de Códigos e Valores'!$A:$J,10,FALSE)*6%&gt;=VLOOKUP('Relatório Custo'!$A34,'Indicadores Financeiros'!$A$145:$I$208,9,FALSE)*'Relatório Custo'!I34,0,VLOOKUP('Relatório Custo'!$A34,'Indicadores Financeiros'!$A$145:$I$208,9,FALSE)*'Relatório Custo'!I34-VLOOKUP($E34,'Tabela de Códigos e Valores'!$A:$J,10,FALSE)*6%),0),2)</f>
        <v>127.55</v>
      </c>
      <c r="Q34" s="180">
        <f>VLOOKUP($E34,'Tabela de Códigos e Valores'!$A:$AAC,30,FALSE)</f>
        <v>62.81</v>
      </c>
      <c r="R34" s="180">
        <f>ROUND(ROUND(($M34+$N34+$O34+$P34+$Q34),2)*VLOOKUP($E34,'Tabela de Códigos e Valores'!$A:$AE,31,FALSE)/(1-VLOOKUP($E34,'Tabela de Códigos e Valores'!$A:$AE,31,FALSE)),2)</f>
        <v>796.49</v>
      </c>
      <c r="S34" s="24">
        <f t="shared" si="0"/>
        <v>6637.4299999999994</v>
      </c>
      <c r="T34" s="182">
        <f>VLOOKUP($A34,'Indicadores Financeiros'!$A$145:$J$208,8,FALSE)</f>
        <v>0.27810000000000001</v>
      </c>
      <c r="U34" s="24">
        <f t="shared" si="1"/>
        <v>8483.2999999999993</v>
      </c>
      <c r="V34" s="32">
        <f t="shared" si="2"/>
        <v>8483.2999999999993</v>
      </c>
      <c r="W34" s="240">
        <f>VLOOKUP($A34,'Indicadores Financeiros'!$A$145:$J$208,10)</f>
        <v>1</v>
      </c>
      <c r="X34" s="64">
        <f>U34*IF(H34="Mensal",('Indicadores Financeiros'!$F$14-W34+1),IF(H34="Trimestral",INT(('Indicadores Financeiros'!$F$14-W34+1)/3),INT(('Indicadores Financeiros'!$F$14-W34+1)/12)))*K34</f>
        <v>254498.99999999997</v>
      </c>
      <c r="Y34" s="75"/>
      <c r="Z34" s="64">
        <f t="shared" si="3"/>
        <v>2818.8599999999997</v>
      </c>
      <c r="AA34" s="64">
        <f>ROUND('Indicadores Financeiros'!$J$71*$Z34,4)</f>
        <v>901.75329999999997</v>
      </c>
      <c r="AB34" s="25"/>
      <c r="AC34" s="23">
        <f t="shared" si="4"/>
        <v>403.97</v>
      </c>
      <c r="AD34" s="23">
        <f>ROUND((ROUND(VLOOKUP($E34,'Tabela de Códigos e Valores'!$A:$AB,26,FALSE)/I34,2)+ROUND(P34/I34,2)+ROUND(M34*'Indicadores Financeiros'!$J$61/I34,2)+ROUND(R34/I34,2))*(1+T34),2)</f>
        <v>107.96</v>
      </c>
      <c r="AE34" s="23">
        <f>IF(G34="posto",IF(OR(E34=690018,E34=690019),'Indicadores Financeiros'!$J$117,IF(OR(E34=690002,E34=690016,E34=690019,E34=690035,E34=690038,E34=690064),'Indicadores Financeiros'!$G$117/2*(1+T34),'Indicadores Financeiros'!$G$117*(1+T34))),0)</f>
        <v>0</v>
      </c>
      <c r="AF34" s="58"/>
      <c r="AG34" s="31"/>
      <c r="AH34" s="273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</row>
    <row r="35" spans="1:346" s="26" customFormat="1" ht="24" x14ac:dyDescent="0.25">
      <c r="A35" s="21">
        <v>1</v>
      </c>
      <c r="B35" s="21">
        <f>VLOOKUP($A35,'Indicadores Financeiros'!$A$145:$J$306,2,FALSE)</f>
        <v>328</v>
      </c>
      <c r="C35" s="22" t="str">
        <f>VLOOKUP($A35,'Indicadores Financeiros'!$A$145:$J$306,3,FALSE)</f>
        <v>São Paulo - Palácio da Justiça</v>
      </c>
      <c r="D35" s="353" t="str">
        <f>VLOOKUP($B35,BIP!A:E,5,FALSE)</f>
        <v>São Paulo</v>
      </c>
      <c r="E35" s="73">
        <v>690063</v>
      </c>
      <c r="F35" s="7" t="str">
        <f>VLOOKUP($E35,'Tabela de Códigos e Valores'!$A:$M,2,FALSE)</f>
        <v xml:space="preserve">Auxiliar de Limpeza, com adicional de acúmulo de função - diurno - 44 horas semanais </v>
      </c>
      <c r="G35" s="7" t="str">
        <f>VLOOKUP($E35,'Tabela de Códigos e Valores'!$A:$M,5,FALSE)</f>
        <v>Posto</v>
      </c>
      <c r="H35" s="7" t="str">
        <f>VLOOKUP($E35,'Tabela de Códigos e Valores'!$A:$M,6,FALSE)</f>
        <v>Mensal</v>
      </c>
      <c r="I35" s="180">
        <f>VLOOKUP($E35,'Tabela de Códigos e Valores'!$A:$M,7,FALSE)</f>
        <v>21</v>
      </c>
      <c r="J35" s="180">
        <f>VLOOKUP($E35,'Tabela de Códigos e Valores'!$A:$M,8,FALSE)</f>
        <v>0</v>
      </c>
      <c r="K35" s="284">
        <v>1</v>
      </c>
      <c r="L35" s="193">
        <f>IFERROR(VLOOKUP(E35,'Indicadores Financeiros'!$A$90:$J$92,10,FALSE),0)</f>
        <v>0</v>
      </c>
      <c r="M35" s="180">
        <f>VLOOKUP($E35,'Tabela de Códigos e Valores'!$A:$Z,16,FALSE)</f>
        <v>2060.64</v>
      </c>
      <c r="N35" s="180">
        <f>VLOOKUP($E35,'Tabela de Códigos e Valores'!$A:$Z,17,FALSE)</f>
        <v>1605.58</v>
      </c>
      <c r="O35" s="180">
        <f>VLOOKUP($E35,'Tabela de Códigos e Valores'!$A:$AAB,28,FALSE)</f>
        <v>635.36</v>
      </c>
      <c r="P35" s="180">
        <f>ROUND(IF($G35&lt;&gt;"M2",IF(VLOOKUP($E35,'Tabela de Códigos e Valores'!$A:$J,10,FALSE)*6%&gt;=VLOOKUP('Relatório Custo'!$A35,'Indicadores Financeiros'!$A$145:$I$208,9,FALSE)*'Relatório Custo'!I35,0,VLOOKUP('Relatório Custo'!$A35,'Indicadores Financeiros'!$A$145:$I$208,9,FALSE)*'Relatório Custo'!I35-VLOOKUP($E35,'Tabela de Códigos e Valores'!$A:$J,10,FALSE)*6%),0),2)</f>
        <v>127.55</v>
      </c>
      <c r="Q35" s="180">
        <f>VLOOKUP($E35,'Tabela de Códigos e Valores'!$A:$AAC,30,FALSE)</f>
        <v>62.81</v>
      </c>
      <c r="R35" s="180">
        <f>ROUND(ROUND(($M35+$N35+$O35+$P35+$Q35),2)*VLOOKUP($E35,'Tabela de Códigos e Valores'!$A:$AE,31,FALSE)/(1-VLOOKUP($E35,'Tabela de Códigos e Valores'!$A:$AE,31,FALSE)),2)</f>
        <v>612.54</v>
      </c>
      <c r="S35" s="24">
        <f t="shared" si="0"/>
        <v>5104.4800000000005</v>
      </c>
      <c r="T35" s="182">
        <f>VLOOKUP($A35,'Indicadores Financeiros'!$A$145:$J$208,8,FALSE)</f>
        <v>0.27810000000000001</v>
      </c>
      <c r="U35" s="24">
        <f t="shared" si="1"/>
        <v>6524.04</v>
      </c>
      <c r="V35" s="32">
        <f t="shared" si="2"/>
        <v>6524.04</v>
      </c>
      <c r="W35" s="240">
        <f>VLOOKUP($A35,'Indicadores Financeiros'!$A$145:$J$208,10)</f>
        <v>1</v>
      </c>
      <c r="X35" s="64">
        <f>U35*IF(H35="Mensal",('Indicadores Financeiros'!$F$14-W35+1),IF(H35="Trimestral",INT(('Indicadores Financeiros'!$F$14-W35+1)/3),INT(('Indicadores Financeiros'!$F$14-W35+1)/12)))*K35</f>
        <v>195721.2</v>
      </c>
      <c r="Y35" s="75"/>
      <c r="Z35" s="64">
        <f t="shared" si="3"/>
        <v>2060.64</v>
      </c>
      <c r="AA35" s="64">
        <f>ROUND('Indicadores Financeiros'!$J$71*$Z35,4)</f>
        <v>659.19870000000003</v>
      </c>
      <c r="AB35" s="25"/>
      <c r="AC35" s="23">
        <f t="shared" si="4"/>
        <v>310.67</v>
      </c>
      <c r="AD35" s="23">
        <f>ROUND((ROUND(VLOOKUP($E35,'Tabela de Códigos e Valores'!$A:$AB,26,FALSE)/I35,2)+ROUND(P35/I35,2)+ROUND(M35*'Indicadores Financeiros'!$J$61/I35,2)+ROUND(R35/I35,2))*(1+T35),2)</f>
        <v>89.52</v>
      </c>
      <c r="AE35" s="23">
        <f>IF(G35="posto",IF(OR(E35=690018,E35=690019),'Indicadores Financeiros'!$J$117,IF(OR(E35=690002,E35=690016,E35=690019,E35=690035,E35=690038,E35=690064),'Indicadores Financeiros'!$G$117/2*(1+T35),'Indicadores Financeiros'!$G$117*(1+T35))),0)</f>
        <v>0</v>
      </c>
      <c r="AF35" s="58"/>
      <c r="AG35" s="31"/>
      <c r="AH35" s="273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</row>
    <row r="36" spans="1:346" s="26" customFormat="1" ht="24" x14ac:dyDescent="0.25">
      <c r="A36" s="21">
        <v>1</v>
      </c>
      <c r="B36" s="21">
        <f>VLOOKUP($A36,'Indicadores Financeiros'!$A$145:$J$306,2,FALSE)</f>
        <v>328</v>
      </c>
      <c r="C36" s="22" t="str">
        <f>VLOOKUP($A36,'Indicadores Financeiros'!$A$145:$J$306,3,FALSE)</f>
        <v>São Paulo - Palácio da Justiça</v>
      </c>
      <c r="D36" s="353" t="str">
        <f>VLOOKUP($B36,BIP!A:E,5,FALSE)</f>
        <v>São Paulo</v>
      </c>
      <c r="E36" s="73">
        <v>690064</v>
      </c>
      <c r="F36" s="7" t="str">
        <f>VLOOKUP($E36,'Tabela de Códigos e Valores'!$A:$M,2,FALSE)</f>
        <v xml:space="preserve">Auxiliar de Limpeza, com adicional de acúmulo de função - diurno - 24 horas semanais </v>
      </c>
      <c r="G36" s="7" t="str">
        <f>VLOOKUP($E36,'Tabela de Códigos e Valores'!$A:$M,5,FALSE)</f>
        <v>Posto</v>
      </c>
      <c r="H36" s="7" t="str">
        <f>VLOOKUP($E36,'Tabela de Códigos e Valores'!$A:$M,6,FALSE)</f>
        <v>Mensal</v>
      </c>
      <c r="I36" s="180">
        <f>VLOOKUP($E36,'Tabela de Códigos e Valores'!$A:$M,7,FALSE)</f>
        <v>21</v>
      </c>
      <c r="J36" s="180">
        <f>VLOOKUP($E36,'Tabela de Códigos e Valores'!$A:$M,8,FALSE)</f>
        <v>0</v>
      </c>
      <c r="K36" s="284">
        <v>1</v>
      </c>
      <c r="L36" s="193">
        <f>IFERROR(VLOOKUP(E36,'Indicadores Financeiros'!$A$90:$J$92,10,FALSE),0)</f>
        <v>0</v>
      </c>
      <c r="M36" s="180">
        <f>VLOOKUP($E36,'Tabela de Códigos e Valores'!$A:$Z,16,FALSE)</f>
        <v>1236.3799999999999</v>
      </c>
      <c r="N36" s="180">
        <f>VLOOKUP($E36,'Tabela de Códigos e Valores'!$A:$Z,17,FALSE)</f>
        <v>963.34</v>
      </c>
      <c r="O36" s="180">
        <f>VLOOKUP($E36,'Tabela de Códigos e Valores'!$A:$AAB,28,FALSE)</f>
        <v>228.59</v>
      </c>
      <c r="P36" s="180">
        <f>ROUND(IF($G36&lt;&gt;"M2",IF(VLOOKUP($E36,'Tabela de Códigos e Valores'!$A:$J,10,FALSE)*6%&gt;=VLOOKUP('Relatório Custo'!$A36,'Indicadores Financeiros'!$A$145:$I$208,9,FALSE)*'Relatório Custo'!I36,0,VLOOKUP('Relatório Custo'!$A36,'Indicadores Financeiros'!$A$145:$I$208,9,FALSE)*'Relatório Custo'!I36-VLOOKUP($E36,'Tabela de Códigos e Valores'!$A:$J,10,FALSE)*6%),0),2)</f>
        <v>168.76</v>
      </c>
      <c r="Q36" s="180">
        <f>VLOOKUP($E36,'Tabela de Códigos e Valores'!$A:$AAC,30,FALSE)</f>
        <v>62.81</v>
      </c>
      <c r="R36" s="180">
        <f>ROUND(ROUND(($M36+$N36+$O36+$P36+$Q36),2)*VLOOKUP($E36,'Tabela de Códigos e Valores'!$A:$AE,31,FALSE)/(1-VLOOKUP($E36,'Tabela de Códigos e Valores'!$A:$AE,31,FALSE)),2)</f>
        <v>362.71</v>
      </c>
      <c r="S36" s="24">
        <f t="shared" si="0"/>
        <v>3022.5899999999997</v>
      </c>
      <c r="T36" s="182">
        <f>VLOOKUP($A36,'Indicadores Financeiros'!$A$145:$J$208,8,FALSE)</f>
        <v>0.27810000000000001</v>
      </c>
      <c r="U36" s="24">
        <f t="shared" si="1"/>
        <v>3863.17</v>
      </c>
      <c r="V36" s="32">
        <f t="shared" si="2"/>
        <v>3863.17</v>
      </c>
      <c r="W36" s="240">
        <f>VLOOKUP($A36,'Indicadores Financeiros'!$A$145:$J$208,10)</f>
        <v>1</v>
      </c>
      <c r="X36" s="64">
        <f>U36*IF(H36="Mensal",('Indicadores Financeiros'!$F$14-W36+1),IF(H36="Trimestral",INT(('Indicadores Financeiros'!$F$14-W36+1)/3),INT(('Indicadores Financeiros'!$F$14-W36+1)/12)))*K36</f>
        <v>115895.1</v>
      </c>
      <c r="Y36" s="75"/>
      <c r="Z36" s="64">
        <f t="shared" si="3"/>
        <v>1236.3799999999999</v>
      </c>
      <c r="AA36" s="64">
        <f>ROUND('Indicadores Financeiros'!$J$71*$Z36,4)</f>
        <v>395.51799999999997</v>
      </c>
      <c r="AB36" s="25"/>
      <c r="AC36" s="23">
        <f t="shared" si="4"/>
        <v>183.96</v>
      </c>
      <c r="AD36" s="23">
        <f>ROUND((ROUND(VLOOKUP($E36,'Tabela de Códigos e Valores'!$A:$AB,26,FALSE)/I36,2)+ROUND(P36/I36,2)+ROUND(M36*'Indicadores Financeiros'!$J$61/I36,2)+ROUND(R36/I36,2))*(1+T36),2)</f>
        <v>44.18</v>
      </c>
      <c r="AE36" s="23">
        <f>IF(G36="posto",IF(OR(E36=690018,E36=690019),'Indicadores Financeiros'!$J$117,IF(OR(E36=690002,E36=690016,E36=690019,E36=690035,E36=690038,E36=690064),'Indicadores Financeiros'!$G$117/2*(1+T36),'Indicadores Financeiros'!$G$117*(1+T36))),0)</f>
        <v>0</v>
      </c>
      <c r="AF36" s="58"/>
      <c r="AG36" s="31"/>
      <c r="AH36" s="273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</row>
    <row r="37" spans="1:346" s="26" customFormat="1" ht="24" x14ac:dyDescent="0.25">
      <c r="A37" s="21">
        <v>1</v>
      </c>
      <c r="B37" s="21">
        <f>VLOOKUP($A37,'Indicadores Financeiros'!$A$145:$J$306,2,FALSE)</f>
        <v>328</v>
      </c>
      <c r="C37" s="22" t="str">
        <f>VLOOKUP($A37,'Indicadores Financeiros'!$A$145:$J$306,3,FALSE)</f>
        <v>São Paulo - Palácio da Justiça</v>
      </c>
      <c r="D37" s="353" t="str">
        <f>VLOOKUP($B37,BIP!A:E,5,FALSE)</f>
        <v>São Paulo</v>
      </c>
      <c r="E37" s="73">
        <v>690065</v>
      </c>
      <c r="F37" s="7" t="str">
        <f>VLOOKUP($E37,'Tabela de Códigos e Valores'!$A:$M,2,FALSE)</f>
        <v>Serviço de limpeza - plantonista - sábados (8 horas)</v>
      </c>
      <c r="G37" s="7" t="str">
        <f>VLOOKUP($E37,'Tabela de Códigos e Valores'!$A:$M,5,FALSE)</f>
        <v>Plantão - Sábado</v>
      </c>
      <c r="H37" s="7" t="str">
        <f>VLOOKUP($E37,'Tabela de Códigos e Valores'!$A:$M,6,FALSE)</f>
        <v>Mensal</v>
      </c>
      <c r="I37" s="180">
        <f>VLOOKUP($E37,'Tabela de Códigos e Valores'!$A:$M,7,FALSE)</f>
        <v>5</v>
      </c>
      <c r="J37" s="180">
        <f>VLOOKUP($E37,'Tabela de Códigos e Valores'!$A:$M,8,FALSE)</f>
        <v>40</v>
      </c>
      <c r="K37" s="284">
        <v>1</v>
      </c>
      <c r="L37" s="193">
        <f>IFERROR(VLOOKUP(E37,'Indicadores Financeiros'!$A$90:$J$92,10,FALSE),0)</f>
        <v>0</v>
      </c>
      <c r="M37" s="180">
        <f>VLOOKUP($E37,'Tabela de Códigos e Valores'!$A:$Z,16,FALSE)</f>
        <v>468.40000000000003</v>
      </c>
      <c r="N37" s="180">
        <f>VLOOKUP($E37,'Tabela de Códigos e Valores'!$A:$Z,17,FALSE)</f>
        <v>364.79999999999995</v>
      </c>
      <c r="O37" s="180">
        <f>VLOOKUP($E37,'Tabela de Códigos e Valores'!$A:$AAB,28,FALSE)</f>
        <v>96.85</v>
      </c>
      <c r="P37" s="180">
        <f>ROUND(IF($G37&lt;&gt;"M2",IF(VLOOKUP($E37,'Tabela de Códigos e Valores'!$A:$J,10,FALSE)*6%&gt;=VLOOKUP('Relatório Custo'!$A37,'Indicadores Financeiros'!$A$145:$I$208,9,FALSE)*'Relatório Custo'!I37,0,VLOOKUP('Relatório Custo'!$A37,'Indicadores Financeiros'!$A$145:$I$208,9,FALSE)*'Relatório Custo'!I37-VLOOKUP($E37,'Tabela de Códigos e Valores'!$A:$J,10,FALSE)*6%),0),2)</f>
        <v>54.9</v>
      </c>
      <c r="Q37" s="180">
        <f>VLOOKUP($E37,'Tabela de Códigos e Valores'!$A:$AAC,30,FALSE)</f>
        <v>0</v>
      </c>
      <c r="R37" s="180">
        <f>ROUND(ROUND(($M37+$N37+$O37+$P37+$Q37),2)*VLOOKUP($E37,'Tabela de Códigos e Valores'!$A:$AE,31,FALSE)/(1-VLOOKUP($E37,'Tabela de Códigos e Valores'!$A:$AE,31,FALSE)),2)</f>
        <v>0</v>
      </c>
      <c r="S37" s="24">
        <f t="shared" si="0"/>
        <v>984.95</v>
      </c>
      <c r="T37" s="182">
        <f>VLOOKUP($A37,'Indicadores Financeiros'!$A$145:$J$208,8,FALSE)</f>
        <v>0.27810000000000001</v>
      </c>
      <c r="U37" s="24">
        <f t="shared" ref="U37:U38" si="10">ROUND(S37*(1+T37),2)</f>
        <v>1258.8599999999999</v>
      </c>
      <c r="V37" s="32">
        <f t="shared" ref="V37:V38" si="11">ROUND(U37*K37,2)</f>
        <v>1258.8599999999999</v>
      </c>
      <c r="W37" s="240">
        <f>VLOOKUP($A37,'Indicadores Financeiros'!$A$145:$J$208,10)</f>
        <v>1</v>
      </c>
      <c r="X37" s="64">
        <f>U37*IF(H37="Mensal",('Indicadores Financeiros'!$F$14-W37+1),IF(H37="Trimestral",INT(('Indicadores Financeiros'!$F$14-W37+1)/3),INT(('Indicadores Financeiros'!$F$14-W37+1)/12)))*K37</f>
        <v>37765.799999999996</v>
      </c>
      <c r="Y37" s="75"/>
      <c r="Z37" s="64">
        <f t="shared" ref="Z37:Z38" si="12">IF(G37="Posto",M37,0)*K37</f>
        <v>0</v>
      </c>
      <c r="AA37" s="64">
        <f>ROUND('Indicadores Financeiros'!$J$71*$Z37,4)</f>
        <v>0</v>
      </c>
      <c r="AB37" s="25"/>
      <c r="AC37" s="23">
        <f t="shared" ref="AC37:AC38" si="13">ROUND(IF(OR($G37="Posto",$G37="Plantão - Dom/Fer",$G37="Plantão - Sábado",$G37="Plantão - Recesso"),$U37/$I37,0),2)</f>
        <v>251.77</v>
      </c>
      <c r="AD37" s="23">
        <f>ROUND((ROUND(VLOOKUP($E37,'Tabela de Códigos e Valores'!$A:$AB,26,FALSE)/I37,2)+ROUND(P37/I37,2)+ROUND(M37*'Indicadores Financeiros'!$J$61/I37,2)+ROUND(R37/I37,2))*(1+T37),2)</f>
        <v>57.62</v>
      </c>
      <c r="AE37" s="23">
        <f>IF(G37="posto",IF(OR(E37=690018,E37=690019),'Indicadores Financeiros'!$J$117,IF(OR(E37=690002,E37=690016,E37=690019,E37=690035,E37=690038,E37=690064),'Indicadores Financeiros'!$G$117/2*(1+T37),'Indicadores Financeiros'!$G$117*(1+T37))),0)</f>
        <v>0</v>
      </c>
      <c r="AF37" s="58"/>
      <c r="AG37" s="31"/>
      <c r="AH37" s="273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</row>
    <row r="38" spans="1:346" s="26" customFormat="1" ht="24" x14ac:dyDescent="0.25">
      <c r="A38" s="21">
        <v>1</v>
      </c>
      <c r="B38" s="21">
        <f>VLOOKUP($A38,'Indicadores Financeiros'!$A$145:$J$306,2,FALSE)</f>
        <v>328</v>
      </c>
      <c r="C38" s="22" t="str">
        <f>VLOOKUP($A38,'Indicadores Financeiros'!$A$145:$J$306,3,FALSE)</f>
        <v>São Paulo - Palácio da Justiça</v>
      </c>
      <c r="D38" s="353" t="str">
        <f>VLOOKUP($B38,BIP!A:E,5,FALSE)</f>
        <v>São Paulo</v>
      </c>
      <c r="E38" s="73">
        <v>690066</v>
      </c>
      <c r="F38" s="7" t="str">
        <f>VLOOKUP($E38,'Tabela de Códigos e Valores'!$A:$M,2,FALSE)</f>
        <v>Serviço de limpeza - plantonista - domingos (8 horas)</v>
      </c>
      <c r="G38" s="7" t="str">
        <f>VLOOKUP($E38,'Tabela de Códigos e Valores'!$A:$M,5,FALSE)</f>
        <v>Plantão - Dom/Fer</v>
      </c>
      <c r="H38" s="7" t="str">
        <f>VLOOKUP($E38,'Tabela de Códigos e Valores'!$A:$M,6,FALSE)</f>
        <v>Mensal</v>
      </c>
      <c r="I38" s="180">
        <f>VLOOKUP($E38,'Tabela de Códigos e Valores'!$A:$M,7,FALSE)</f>
        <v>5</v>
      </c>
      <c r="J38" s="180">
        <f>VLOOKUP($E38,'Tabela de Códigos e Valores'!$A:$M,8,FALSE)</f>
        <v>40</v>
      </c>
      <c r="K38" s="284">
        <v>1</v>
      </c>
      <c r="L38" s="193">
        <f>IFERROR(VLOOKUP(E38,'Indicadores Financeiros'!$A$90:$J$92,10,FALSE),0)</f>
        <v>0</v>
      </c>
      <c r="M38" s="180">
        <f>VLOOKUP($E38,'Tabela de Códigos e Valores'!$A:$Z,16,FALSE)</f>
        <v>624.4</v>
      </c>
      <c r="N38" s="180">
        <f>VLOOKUP($E38,'Tabela de Códigos e Valores'!$A:$Z,17,FALSE)</f>
        <v>486.4</v>
      </c>
      <c r="O38" s="180">
        <f>VLOOKUP($E38,'Tabela de Códigos e Valores'!$A:$AAB,28,FALSE)</f>
        <v>96.85</v>
      </c>
      <c r="P38" s="180">
        <f>ROUND(IF($G38&lt;&gt;"M2",IF(VLOOKUP($E38,'Tabela de Códigos e Valores'!$A:$J,10,FALSE)*6%&gt;=VLOOKUP('Relatório Custo'!$A38,'Indicadores Financeiros'!$A$145:$I$208,9,FALSE)*'Relatório Custo'!I38,0,VLOOKUP('Relatório Custo'!$A38,'Indicadores Financeiros'!$A$145:$I$208,9,FALSE)*'Relatório Custo'!I38-VLOOKUP($E38,'Tabela de Códigos e Valores'!$A:$J,10,FALSE)*6%),0),2)</f>
        <v>54.9</v>
      </c>
      <c r="Q38" s="180">
        <f>VLOOKUP($E38,'Tabela de Códigos e Valores'!$A:$AAC,30,FALSE)</f>
        <v>0</v>
      </c>
      <c r="R38" s="180">
        <f>ROUND(ROUND(($M38+$N38+$O38+$P38+$Q38),2)*VLOOKUP($E38,'Tabela de Códigos e Valores'!$A:$AE,31,FALSE)/(1-VLOOKUP($E38,'Tabela de Códigos e Valores'!$A:$AE,31,FALSE)),2)</f>
        <v>0</v>
      </c>
      <c r="S38" s="24">
        <f t="shared" si="0"/>
        <v>1262.55</v>
      </c>
      <c r="T38" s="182">
        <f>VLOOKUP($A38,'Indicadores Financeiros'!$A$145:$J$208,8,FALSE)</f>
        <v>0.27810000000000001</v>
      </c>
      <c r="U38" s="24">
        <f t="shared" si="10"/>
        <v>1613.67</v>
      </c>
      <c r="V38" s="32">
        <f t="shared" si="11"/>
        <v>1613.67</v>
      </c>
      <c r="W38" s="240">
        <f>VLOOKUP($A38,'Indicadores Financeiros'!$A$145:$J$208,10)</f>
        <v>1</v>
      </c>
      <c r="X38" s="64">
        <f>U38*IF(H38="Mensal",('Indicadores Financeiros'!$F$14-W38+1),IF(H38="Trimestral",INT(('Indicadores Financeiros'!$F$14-W38+1)/3),INT(('Indicadores Financeiros'!$F$14-W38+1)/12)))*K38</f>
        <v>48410.100000000006</v>
      </c>
      <c r="Y38" s="75"/>
      <c r="Z38" s="64">
        <f t="shared" si="12"/>
        <v>0</v>
      </c>
      <c r="AA38" s="64">
        <f>ROUND('Indicadores Financeiros'!$J$71*$Z38,4)</f>
        <v>0</v>
      </c>
      <c r="AB38" s="25"/>
      <c r="AC38" s="23">
        <f t="shared" si="13"/>
        <v>322.73</v>
      </c>
      <c r="AD38" s="23">
        <f>ROUND((ROUND(VLOOKUP($E38,'Tabela de Códigos e Valores'!$A:$AB,26,FALSE)/I38,2)+ROUND(P38/I38,2)+ROUND(M38*'Indicadores Financeiros'!$J$61/I38,2)+ROUND(R38/I38,2))*(1+T38),2)</f>
        <v>63.88</v>
      </c>
      <c r="AE38" s="23">
        <f>IF(G38="posto",IF(OR(E38=690018,E38=690019),'Indicadores Financeiros'!$J$117,IF(OR(E38=690002,E38=690016,E38=690019,E38=690035,E38=690038,E38=690064),'Indicadores Financeiros'!$G$117/2*(1+T38),'Indicadores Financeiros'!$G$117*(1+T38))),0)</f>
        <v>0</v>
      </c>
      <c r="AF38" s="58"/>
      <c r="AG38" s="31"/>
      <c r="AH38" s="273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</row>
    <row r="39" spans="1:346" s="26" customFormat="1" ht="24" x14ac:dyDescent="0.25">
      <c r="A39" s="21">
        <v>2</v>
      </c>
      <c r="B39" s="21">
        <f>VLOOKUP($A39,'Indicadores Financeiros'!$A$145:$J$306,2,FALSE)</f>
        <v>13</v>
      </c>
      <c r="C39" s="22" t="str">
        <f>VLOOKUP($A39,'Indicadores Financeiros'!$A$145:$J$306,3,FALSE)</f>
        <v>Araraquara I - Fórum Principal</v>
      </c>
      <c r="D39" s="353" t="str">
        <f>VLOOKUP($B39,BIP!A:E,5,FALSE)</f>
        <v>Araraquara</v>
      </c>
      <c r="E39" s="74">
        <v>690001</v>
      </c>
      <c r="F39" s="7" t="str">
        <f>VLOOKUP($E39,'Tabela de Códigos e Valores'!$A:$M,2,FALSE)</f>
        <v>Auxiliar de limpeza - diurno - 44 horas semanais (segunda a sexta-feira)</v>
      </c>
      <c r="G39" s="7" t="str">
        <f>VLOOKUP($E39,'Tabela de Códigos e Valores'!$A:$M,5,FALSE)</f>
        <v>Posto</v>
      </c>
      <c r="H39" s="7" t="str">
        <f>VLOOKUP($E39,'Tabela de Códigos e Valores'!$A:$M,6,FALSE)</f>
        <v>Mensal</v>
      </c>
      <c r="I39" s="180">
        <f>VLOOKUP($E39,'Tabela de Códigos e Valores'!$A:$M,7,FALSE)</f>
        <v>21</v>
      </c>
      <c r="J39" s="180">
        <f>VLOOKUP($E39,'Tabela de Códigos e Valores'!$A:$M,8,FALSE)</f>
        <v>0</v>
      </c>
      <c r="K39" s="284">
        <v>1</v>
      </c>
      <c r="L39" s="193">
        <f>IFERROR(VLOOKUP(E39,'Indicadores Financeiros'!$A$90:$J$92,10,FALSE),0)</f>
        <v>0</v>
      </c>
      <c r="M39" s="180">
        <f>VLOOKUP($E39,'Tabela de Códigos e Valores'!$A:$Z,16,FALSE)</f>
        <v>1717.2</v>
      </c>
      <c r="N39" s="180">
        <f>VLOOKUP($E39,'Tabela de Códigos e Valores'!$A:$Z,17,FALSE)</f>
        <v>1337.98</v>
      </c>
      <c r="O39" s="180">
        <f>VLOOKUP($E39,'Tabela de Códigos e Valores'!$A:$AAB,28,FALSE)</f>
        <v>635.36</v>
      </c>
      <c r="P39" s="180">
        <f>ROUND(IF($G39&lt;&gt;"M2",IF(VLOOKUP($E39,'Tabela de Códigos e Valores'!$A:$J,10,FALSE)*6%&gt;=VLOOKUP('Relatório Custo'!$A39,'Indicadores Financeiros'!$A$145:$I$208,9,FALSE)*'Relatório Custo'!I39,0,VLOOKUP('Relatório Custo'!$A39,'Indicadores Financeiros'!$A$145:$I$208,9,FALSE)*'Relatório Custo'!I39-VLOOKUP($E39,'Tabela de Códigos e Valores'!$A:$J,10,FALSE)*6%),0),2)</f>
        <v>127.55</v>
      </c>
      <c r="Q39" s="180">
        <f>VLOOKUP($E39,'Tabela de Códigos e Valores'!$A:$AAC,30,FALSE)</f>
        <v>62.81</v>
      </c>
      <c r="R39" s="180">
        <f>ROUND(ROUND(($M39+$N39+$O39+$P39+$Q39),2)*VLOOKUP($E39,'Tabela de Códigos e Valores'!$A:$AE,31,FALSE)/(1-VLOOKUP($E39,'Tabela de Códigos e Valores'!$A:$AE,31,FALSE)),2)</f>
        <v>529.21</v>
      </c>
      <c r="S39" s="24">
        <f t="shared" si="0"/>
        <v>4410.1100000000006</v>
      </c>
      <c r="T39" s="182">
        <f>VLOOKUP($A39,'Indicadores Financeiros'!$A$145:$J$208,8,FALSE)</f>
        <v>0.29260000000000003</v>
      </c>
      <c r="U39" s="24">
        <f>ROUND(S39*(1+T39),2)</f>
        <v>5700.51</v>
      </c>
      <c r="V39" s="32">
        <f>ROUND(U39*K39,2)</f>
        <v>5700.51</v>
      </c>
      <c r="W39" s="240">
        <f>VLOOKUP($A39,'Indicadores Financeiros'!$A$145:$J$208,10)</f>
        <v>1</v>
      </c>
      <c r="X39" s="64">
        <f>U39*IF(H39="Mensal",('Indicadores Financeiros'!$F$14-W39+1),IF(H39="Trimestral",INT(('Indicadores Financeiros'!$F$14-W39+1)/3),INT(('Indicadores Financeiros'!$F$14-W39+1)/12)))*K39</f>
        <v>171015.30000000002</v>
      </c>
      <c r="Y39" s="75"/>
      <c r="Z39" s="64">
        <f>IF(G39="Posto",M39,0)*K39</f>
        <v>1717.2</v>
      </c>
      <c r="AA39" s="64">
        <f>ROUND('Indicadores Financeiros'!$J$71*$Z39,4)</f>
        <v>549.33230000000003</v>
      </c>
      <c r="AB39" s="25"/>
      <c r="AC39" s="23">
        <f>ROUND(IF(OR($G39="Posto",$G39="Plantão"),$U39/$I39,0),2)</f>
        <v>271.45</v>
      </c>
      <c r="AD39" s="23">
        <f>ROUND((ROUND(VLOOKUP($E39,'Tabela de Códigos e Valores'!$A:$AB,26,FALSE)/I39,2)+ROUND(P39/I39,2)+ROUND(M39*'Indicadores Financeiros'!$J$61/I39,2)+ROUND(R39/I39,2))*(1+T39),2)</f>
        <v>82.07</v>
      </c>
      <c r="AE39" s="23">
        <f>IF(G39="posto",IF(OR(E39=690018,E39=690019),'Indicadores Financeiros'!$J$117,IF(OR(E39=690002,E39=690016,E39=690019,E39=690035,E39=690038,E39=690064),'Indicadores Financeiros'!$G$117/2*(1+T39),'Indicadores Financeiros'!$G$117*(1+T39))),0)</f>
        <v>0</v>
      </c>
      <c r="AF39" s="58"/>
      <c r="AG39" s="31"/>
      <c r="AH39" s="273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</row>
    <row r="40" spans="1:346" s="26" customFormat="1" ht="24" x14ac:dyDescent="0.25">
      <c r="A40" s="21">
        <v>2</v>
      </c>
      <c r="B40" s="21">
        <f>VLOOKUP($A40,'Indicadores Financeiros'!$A$145:$J$306,2,FALSE)</f>
        <v>13</v>
      </c>
      <c r="C40" s="22" t="str">
        <f>VLOOKUP($A40,'Indicadores Financeiros'!$A$145:$J$306,3,FALSE)</f>
        <v>Araraquara I - Fórum Principal</v>
      </c>
      <c r="D40" s="353" t="str">
        <f>VLOOKUP($B40,BIP!A:E,5,FALSE)</f>
        <v>Araraquara</v>
      </c>
      <c r="E40" s="3">
        <v>690002</v>
      </c>
      <c r="F40" s="7" t="str">
        <f>VLOOKUP($E40,'Tabela de Códigos e Valores'!$A:$M,2,FALSE)</f>
        <v>Auxiliar de limpeza - diurno - 24 horas  semanais</v>
      </c>
      <c r="G40" s="7" t="str">
        <f>VLOOKUP($E40,'Tabela de Códigos e Valores'!$A:$M,5,FALSE)</f>
        <v>Posto</v>
      </c>
      <c r="H40" s="7" t="str">
        <f>VLOOKUP($E40,'Tabela de Códigos e Valores'!$A:$M,6,FALSE)</f>
        <v>Mensal</v>
      </c>
      <c r="I40" s="180">
        <f>VLOOKUP($E40,'Tabela de Códigos e Valores'!$A:$M,7,FALSE)</f>
        <v>21</v>
      </c>
      <c r="J40" s="180">
        <f>VLOOKUP($E40,'Tabela de Códigos e Valores'!$A:$M,8,FALSE)</f>
        <v>0</v>
      </c>
      <c r="K40" s="284">
        <v>1</v>
      </c>
      <c r="L40" s="193">
        <f>IFERROR(VLOOKUP(E40,'Indicadores Financeiros'!$A$90:$J$92,10,FALSE),0)</f>
        <v>0</v>
      </c>
      <c r="M40" s="180">
        <f>VLOOKUP($E40,'Tabela de Códigos e Valores'!$A:$Z,16,FALSE)</f>
        <v>1030.32</v>
      </c>
      <c r="N40" s="180">
        <f>VLOOKUP($E40,'Tabela de Códigos e Valores'!$A:$Z,17,FALSE)</f>
        <v>802.79</v>
      </c>
      <c r="O40" s="180">
        <f>VLOOKUP($E40,'Tabela de Códigos e Valores'!$A:$AAB,28,FALSE)</f>
        <v>228.59</v>
      </c>
      <c r="P40" s="180">
        <f>ROUND(IF($G40&lt;&gt;"M2",IF(VLOOKUP($E40,'Tabela de Códigos e Valores'!$A:$J,10,FALSE)*6%&gt;=VLOOKUP('Relatório Custo'!$A40,'Indicadores Financeiros'!$A$145:$I$208,9,FALSE)*'Relatório Custo'!I40,0,VLOOKUP('Relatório Custo'!$A40,'Indicadores Financeiros'!$A$145:$I$208,9,FALSE)*'Relatório Custo'!I40-VLOOKUP($E40,'Tabela de Códigos e Valores'!$A:$J,10,FALSE)*6%),0),2)</f>
        <v>168.76</v>
      </c>
      <c r="Q40" s="180">
        <f>VLOOKUP($E40,'Tabela de Códigos e Valores'!$A:$AAC,30,FALSE)</f>
        <v>62.81</v>
      </c>
      <c r="R40" s="180">
        <f>ROUND(ROUND(($M40+$N40+$O40+$P40+$Q40),2)*VLOOKUP($E40,'Tabela de Códigos e Valores'!$A:$AE,31,FALSE)/(1-VLOOKUP($E40,'Tabela de Códigos e Valores'!$A:$AE,31,FALSE)),2)</f>
        <v>312.72000000000003</v>
      </c>
      <c r="S40" s="24">
        <f t="shared" si="0"/>
        <v>2605.9899999999998</v>
      </c>
      <c r="T40" s="182">
        <f>VLOOKUP($A40,'Indicadores Financeiros'!$A$145:$J$208,8,FALSE)</f>
        <v>0.29260000000000003</v>
      </c>
      <c r="U40" s="24">
        <f t="shared" ref="U40:U74" si="14">ROUND(S40*(1+T40),2)</f>
        <v>3368.5</v>
      </c>
      <c r="V40" s="32">
        <f t="shared" ref="V40:V74" si="15">ROUND(U40*K40,2)</f>
        <v>3368.5</v>
      </c>
      <c r="W40" s="240">
        <f>VLOOKUP($A40,'Indicadores Financeiros'!$A$145:$J$208,10)</f>
        <v>1</v>
      </c>
      <c r="X40" s="64">
        <f>U40*IF(H40="Mensal",('Indicadores Financeiros'!$F$14-W40+1),IF(H40="Trimestral",INT(('Indicadores Financeiros'!$F$14-W40+1)/3),INT(('Indicadores Financeiros'!$F$14-W40+1)/12)))*K40</f>
        <v>101055</v>
      </c>
      <c r="Y40" s="75"/>
      <c r="Z40" s="64">
        <f t="shared" ref="Z40:Z74" si="16">IF(G40="Posto",M40,0)*K40</f>
        <v>1030.32</v>
      </c>
      <c r="AA40" s="64">
        <f>ROUND('Indicadores Financeiros'!$J$71*$Z40,4)</f>
        <v>329.5994</v>
      </c>
      <c r="AB40" s="25"/>
      <c r="AC40" s="23">
        <f t="shared" si="4"/>
        <v>160.4</v>
      </c>
      <c r="AD40" s="23">
        <f>ROUND((ROUND(VLOOKUP($E40,'Tabela de Códigos e Valores'!$A:$AB,26,FALSE)/I40,2)+ROUND(P40/I40,2)+ROUND(M40*'Indicadores Financeiros'!$J$61/I40,2)+ROUND(R40/I40,2))*(1+T40),2)</f>
        <v>39.61</v>
      </c>
      <c r="AE40" s="23">
        <f>IF(G40="posto",IF(OR(E40=690018,E40=690019),'Indicadores Financeiros'!$J$117,IF(OR(E40=690002,E40=690016,E40=690019,E40=690035,E40=690038,E40=690064),'Indicadores Financeiros'!$G$117/2*(1+T40),'Indicadores Financeiros'!$G$117*(1+T40))),0)</f>
        <v>0</v>
      </c>
      <c r="AF40" s="58"/>
      <c r="AG40" s="31"/>
      <c r="AH40" s="273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</row>
    <row r="41" spans="1:346" s="26" customFormat="1" ht="24" x14ac:dyDescent="0.25">
      <c r="A41" s="21">
        <v>2</v>
      </c>
      <c r="B41" s="21">
        <f>VLOOKUP($A41,'Indicadores Financeiros'!$A$145:$J$306,2,FALSE)</f>
        <v>13</v>
      </c>
      <c r="C41" s="22" t="str">
        <f>VLOOKUP($A41,'Indicadores Financeiros'!$A$145:$J$306,3,FALSE)</f>
        <v>Araraquara I - Fórum Principal</v>
      </c>
      <c r="D41" s="353" t="str">
        <f>VLOOKUP($B41,BIP!A:E,5,FALSE)</f>
        <v>Araraquara</v>
      </c>
      <c r="E41" s="3">
        <v>690003</v>
      </c>
      <c r="F41" s="7" t="str">
        <f>VLOOKUP($E41,'Tabela de Códigos e Valores'!$A:$M,2,FALSE)</f>
        <v>Auxiliar de limpeza - noturno - 44 horas  semanais</v>
      </c>
      <c r="G41" s="7" t="str">
        <f>VLOOKUP($E41,'Tabela de Códigos e Valores'!$A:$M,5,FALSE)</f>
        <v>Posto</v>
      </c>
      <c r="H41" s="7" t="str">
        <f>VLOOKUP($E41,'Tabela de Códigos e Valores'!$A:$M,6,FALSE)</f>
        <v>Mensal</v>
      </c>
      <c r="I41" s="180">
        <f>VLOOKUP($E41,'Tabela de Códigos e Valores'!$A:$M,7,FALSE)</f>
        <v>21</v>
      </c>
      <c r="J41" s="180">
        <f>VLOOKUP($E41,'Tabela de Códigos e Valores'!$A:$M,8,FALSE)</f>
        <v>0</v>
      </c>
      <c r="K41" s="284">
        <v>1</v>
      </c>
      <c r="L41" s="193">
        <f>IFERROR(VLOOKUP(E41,'Indicadores Financeiros'!$A$90:$J$92,10,FALSE),0)</f>
        <v>0</v>
      </c>
      <c r="M41" s="180">
        <f>VLOOKUP($E41,'Tabela de Códigos e Valores'!$A:$Z,16,FALSE)</f>
        <v>2082.5</v>
      </c>
      <c r="N41" s="180">
        <f>VLOOKUP($E41,'Tabela de Códigos e Valores'!$A:$Z,17,FALSE)</f>
        <v>1622.61</v>
      </c>
      <c r="O41" s="180">
        <f>VLOOKUP($E41,'Tabela de Códigos e Valores'!$A:$AAB,28,FALSE)</f>
        <v>635.36</v>
      </c>
      <c r="P41" s="180">
        <f>ROUND(IF($G41&lt;&gt;"M2",IF(VLOOKUP($E41,'Tabela de Códigos e Valores'!$A:$J,10,FALSE)*6%&gt;=VLOOKUP('Relatório Custo'!$A41,'Indicadores Financeiros'!$A$145:$I$208,9,FALSE)*'Relatório Custo'!I41,0,VLOOKUP('Relatório Custo'!$A41,'Indicadores Financeiros'!$A$145:$I$208,9,FALSE)*'Relatório Custo'!I41-VLOOKUP($E41,'Tabela de Códigos e Valores'!$A:$J,10,FALSE)*6%),0),2)</f>
        <v>127.55</v>
      </c>
      <c r="Q41" s="180">
        <f>VLOOKUP($E41,'Tabela de Códigos e Valores'!$A:$AAC,30,FALSE)</f>
        <v>62.81</v>
      </c>
      <c r="R41" s="180">
        <f>ROUND(ROUND(($M41+$N41+$O41+$P41+$Q41),2)*VLOOKUP($E41,'Tabela de Códigos e Valores'!$A:$AE,31,FALSE)/(1-VLOOKUP($E41,'Tabela de Códigos e Valores'!$A:$AE,31,FALSE)),2)</f>
        <v>617.84</v>
      </c>
      <c r="S41" s="24">
        <f t="shared" si="0"/>
        <v>5148.67</v>
      </c>
      <c r="T41" s="182">
        <f>VLOOKUP($A41,'Indicadores Financeiros'!$A$145:$J$208,8,FALSE)</f>
        <v>0.29260000000000003</v>
      </c>
      <c r="U41" s="24">
        <f t="shared" si="14"/>
        <v>6655.17</v>
      </c>
      <c r="V41" s="32">
        <f t="shared" si="15"/>
        <v>6655.17</v>
      </c>
      <c r="W41" s="240">
        <f>VLOOKUP($A41,'Indicadores Financeiros'!$A$145:$J$208,10)</f>
        <v>1</v>
      </c>
      <c r="X41" s="64">
        <f>U41*IF(H41="Mensal",('Indicadores Financeiros'!$F$14-W41+1),IF(H41="Trimestral",INT(('Indicadores Financeiros'!$F$14-W41+1)/3),INT(('Indicadores Financeiros'!$F$14-W41+1)/12)))*K41</f>
        <v>199655.1</v>
      </c>
      <c r="Y41" s="75"/>
      <c r="Z41" s="64">
        <f t="shared" si="16"/>
        <v>2082.5</v>
      </c>
      <c r="AA41" s="64">
        <f>ROUND('Indicadores Financeiros'!$J$71*$Z41,4)</f>
        <v>666.19179999999994</v>
      </c>
      <c r="AB41" s="25"/>
      <c r="AC41" s="23">
        <f t="shared" si="4"/>
        <v>316.91000000000003</v>
      </c>
      <c r="AD41" s="23">
        <f>ROUND((ROUND(VLOOKUP($E41,'Tabela de Códigos e Valores'!$A:$AB,26,FALSE)/I41,2)+ROUND(P41/I41,2)+ROUND(M41*'Indicadores Financeiros'!$J$61/I41,2)+ROUND(R41/I41,2))*(1+T41),2)</f>
        <v>91.06</v>
      </c>
      <c r="AE41" s="23">
        <f>IF(G41="posto",IF(OR(E41=690018,E41=690019),'Indicadores Financeiros'!$J$117,IF(OR(E41=690002,E41=690016,E41=690019,E41=690035,E41=690038,E41=690064),'Indicadores Financeiros'!$G$117/2*(1+T41),'Indicadores Financeiros'!$G$117*(1+T41))),0)</f>
        <v>0</v>
      </c>
      <c r="AF41" s="58"/>
      <c r="AG41" s="31"/>
      <c r="AH41" s="273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</row>
    <row r="42" spans="1:346" s="26" customFormat="1" ht="24" x14ac:dyDescent="0.25">
      <c r="A42" s="21">
        <v>2</v>
      </c>
      <c r="B42" s="21">
        <f>VLOOKUP($A42,'Indicadores Financeiros'!$A$145:$J$306,2,FALSE)</f>
        <v>13</v>
      </c>
      <c r="C42" s="22" t="str">
        <f>VLOOKUP($A42,'Indicadores Financeiros'!$A$145:$J$306,3,FALSE)</f>
        <v>Araraquara I - Fórum Principal</v>
      </c>
      <c r="D42" s="353" t="str">
        <f>VLOOKUP($B42,BIP!A:E,5,FALSE)</f>
        <v>Araraquara</v>
      </c>
      <c r="E42" s="3">
        <v>690004</v>
      </c>
      <c r="F42" s="7" t="str">
        <f>VLOOKUP($E42,'Tabela de Códigos e Valores'!$A:$M,2,FALSE)</f>
        <v>Serviço de limpeza - plantonista - domingos e feriados (5 horas)</v>
      </c>
      <c r="G42" s="7" t="str">
        <f>VLOOKUP($E42,'Tabela de Códigos e Valores'!$A:$M,5,FALSE)</f>
        <v>Plantão - Dom/Fer</v>
      </c>
      <c r="H42" s="7" t="str">
        <f>VLOOKUP($E42,'Tabela de Códigos e Valores'!$A:$M,6,FALSE)</f>
        <v>Mensal</v>
      </c>
      <c r="I42" s="180">
        <f>VLOOKUP($E42,'Tabela de Códigos e Valores'!$A:$M,7,FALSE)</f>
        <v>6</v>
      </c>
      <c r="J42" s="180">
        <f>VLOOKUP($E42,'Tabela de Códigos e Valores'!$A:$M,8,FALSE)</f>
        <v>30</v>
      </c>
      <c r="K42" s="284">
        <v>1</v>
      </c>
      <c r="L42" s="193">
        <f>IFERROR(VLOOKUP(E42,'Indicadores Financeiros'!$A$90:$J$92,10,FALSE),0)</f>
        <v>0</v>
      </c>
      <c r="M42" s="180">
        <f>VLOOKUP($E42,'Tabela de Códigos e Valores'!$A:$Z,16,FALSE)</f>
        <v>468.29999999999995</v>
      </c>
      <c r="N42" s="180">
        <f>VLOOKUP($E42,'Tabela de Códigos e Valores'!$A:$Z,17,FALSE)</f>
        <v>364.8</v>
      </c>
      <c r="O42" s="180">
        <f>VLOOKUP($E42,'Tabela de Códigos e Valores'!$A:$AAB,28,FALSE)</f>
        <v>116.22</v>
      </c>
      <c r="P42" s="180">
        <f>ROUND(IF($G42&lt;&gt;"M2",IF(VLOOKUP($E42,'Tabela de Códigos e Valores'!$A:$J,10,FALSE)*6%&gt;=VLOOKUP('Relatório Custo'!$A42,'Indicadores Financeiros'!$A$145:$I$208,9,FALSE)*'Relatório Custo'!I42,0,VLOOKUP('Relatório Custo'!$A42,'Indicadores Financeiros'!$A$145:$I$208,9,FALSE)*'Relatório Custo'!I42-VLOOKUP($E42,'Tabela de Códigos e Valores'!$A:$J,10,FALSE)*6%),0),2)</f>
        <v>65.88</v>
      </c>
      <c r="Q42" s="180">
        <f>VLOOKUP($E42,'Tabela de Códigos e Valores'!$A:$AAC,30,FALSE)</f>
        <v>0</v>
      </c>
      <c r="R42" s="180">
        <f>ROUND(ROUND(($M42+$N42+$O42+$P42+$Q42),2)*VLOOKUP($E42,'Tabela de Códigos e Valores'!$A:$AE,31,FALSE)/(1-VLOOKUP($E42,'Tabela de Códigos e Valores'!$A:$AE,31,FALSE)),2)</f>
        <v>0</v>
      </c>
      <c r="S42" s="24">
        <f t="shared" si="0"/>
        <v>1015.1999999999999</v>
      </c>
      <c r="T42" s="182">
        <f>VLOOKUP($A42,'Indicadores Financeiros'!$A$145:$J$208,8,FALSE)</f>
        <v>0.29260000000000003</v>
      </c>
      <c r="U42" s="24">
        <f t="shared" si="14"/>
        <v>1312.25</v>
      </c>
      <c r="V42" s="32">
        <f t="shared" si="15"/>
        <v>1312.25</v>
      </c>
      <c r="W42" s="240">
        <f>VLOOKUP($A42,'Indicadores Financeiros'!$A$145:$J$208,10)</f>
        <v>1</v>
      </c>
      <c r="X42" s="64">
        <f>U42*IF(H42="Mensal",('Indicadores Financeiros'!$F$14-W42+1),IF(H42="Trimestral",INT(('Indicadores Financeiros'!$F$14-W42+1)/3),INT(('Indicadores Financeiros'!$F$14-W42+1)/12)))*K42</f>
        <v>39367.5</v>
      </c>
      <c r="Y42" s="75"/>
      <c r="Z42" s="64">
        <f t="shared" si="16"/>
        <v>0</v>
      </c>
      <c r="AA42" s="64">
        <f>ROUND('Indicadores Financeiros'!$J$71*$Z42,4)</f>
        <v>0</v>
      </c>
      <c r="AB42" s="25"/>
      <c r="AC42" s="23">
        <f>ROUND(IF(OR($G42="Posto",$G42="Plantão - Dom/Fer",$G42="Plantão - Sábado",$G42="Plantão - Recesso"),$U42/$I42,0),2)</f>
        <v>218.71</v>
      </c>
      <c r="AD42" s="23">
        <f>ROUND((ROUND(VLOOKUP($E42,'Tabela de Códigos e Valores'!$A:$AB,26,FALSE)/I42,2)+ROUND(P42/I42,2)+ROUND(M42*'Indicadores Financeiros'!$J$61/I42,2)+ROUND(R42/I42,2))*(1+T42),2)</f>
        <v>55.09</v>
      </c>
      <c r="AE42" s="23">
        <f>IF(G42="posto",IF(OR(E42=690018,E42=690019),'Indicadores Financeiros'!$J$117,IF(OR(E42=690002,E42=690016,E42=690019,E42=690035,E42=690038,E42=690064),'Indicadores Financeiros'!$G$117/2*(1+T42),'Indicadores Financeiros'!$G$117*(1+T42))),0)</f>
        <v>0</v>
      </c>
      <c r="AF42" s="58"/>
      <c r="AG42" s="31"/>
      <c r="AH42" s="273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</row>
    <row r="43" spans="1:346" s="26" customFormat="1" ht="24" x14ac:dyDescent="0.25">
      <c r="A43" s="21">
        <v>2</v>
      </c>
      <c r="B43" s="21">
        <f>VLOOKUP($A43,'Indicadores Financeiros'!$A$145:$J$306,2,FALSE)</f>
        <v>13</v>
      </c>
      <c r="C43" s="22" t="str">
        <f>VLOOKUP($A43,'Indicadores Financeiros'!$A$145:$J$306,3,FALSE)</f>
        <v>Araraquara I - Fórum Principal</v>
      </c>
      <c r="D43" s="353" t="str">
        <f>VLOOKUP($B43,BIP!A:E,5,FALSE)</f>
        <v>Araraquara</v>
      </c>
      <c r="E43" s="3">
        <v>690013</v>
      </c>
      <c r="F43" s="7" t="str">
        <f>VLOOKUP($E43,'Tabela de Códigos e Valores'!$A:$M,2,FALSE)</f>
        <v>Limpador(a) de vidros - diurno - 44 horas semanais</v>
      </c>
      <c r="G43" s="7" t="str">
        <f>VLOOKUP($E43,'Tabela de Códigos e Valores'!$A:$M,5,FALSE)</f>
        <v>Posto</v>
      </c>
      <c r="H43" s="7" t="str">
        <f>VLOOKUP($E43,'Tabela de Códigos e Valores'!$A:$M,6,FALSE)</f>
        <v>Mensal</v>
      </c>
      <c r="I43" s="180">
        <f>VLOOKUP($E43,'Tabela de Códigos e Valores'!$A:$M,7,FALSE)</f>
        <v>21</v>
      </c>
      <c r="J43" s="180">
        <f>VLOOKUP($E43,'Tabela de Códigos e Valores'!$A:$M,8,FALSE)</f>
        <v>0</v>
      </c>
      <c r="K43" s="284">
        <v>1</v>
      </c>
      <c r="L43" s="193">
        <f>IFERROR(VLOOKUP(E43,'Indicadores Financeiros'!$A$90:$J$92,10,FALSE),0)</f>
        <v>0</v>
      </c>
      <c r="M43" s="180">
        <f>VLOOKUP($E43,'Tabela de Códigos e Valores'!$A:$Z,16,FALSE)</f>
        <v>1882.34</v>
      </c>
      <c r="N43" s="180">
        <f>VLOOKUP($E43,'Tabela de Códigos e Valores'!$A:$Z,17,FALSE)</f>
        <v>1466.65</v>
      </c>
      <c r="O43" s="180">
        <f>VLOOKUP($E43,'Tabela de Códigos e Valores'!$A:$AAB,28,FALSE)</f>
        <v>635.36</v>
      </c>
      <c r="P43" s="180">
        <f>ROUND(IF($G43&lt;&gt;"M2",IF(VLOOKUP($E43,'Tabela de Códigos e Valores'!$A:$J,10,FALSE)*6%&gt;=VLOOKUP('Relatório Custo'!$A43,'Indicadores Financeiros'!$A$145:$I$208,9,FALSE)*'Relatório Custo'!I43,0,VLOOKUP('Relatório Custo'!$A43,'Indicadores Financeiros'!$A$145:$I$208,9,FALSE)*'Relatório Custo'!I43-VLOOKUP($E43,'Tabela de Códigos e Valores'!$A:$J,10,FALSE)*6%),0),2)</f>
        <v>117.64</v>
      </c>
      <c r="Q43" s="180">
        <f>VLOOKUP($E43,'Tabela de Códigos e Valores'!$A:$AAC,30,FALSE)</f>
        <v>107.18</v>
      </c>
      <c r="R43" s="180">
        <f>ROUND(ROUND(($M43+$N43+$O43+$P43+$Q43),2)*VLOOKUP($E43,'Tabela de Códigos e Valores'!$A:$AE,31,FALSE)/(1-VLOOKUP($E43,'Tabela de Códigos e Valores'!$A:$AE,31,FALSE)),2)</f>
        <v>573.98</v>
      </c>
      <c r="S43" s="24">
        <f t="shared" si="0"/>
        <v>4783.1499999999996</v>
      </c>
      <c r="T43" s="182">
        <f>VLOOKUP($A43,'Indicadores Financeiros'!$A$145:$J$208,8,FALSE)</f>
        <v>0.29260000000000003</v>
      </c>
      <c r="U43" s="24">
        <f t="shared" si="14"/>
        <v>6182.7</v>
      </c>
      <c r="V43" s="32">
        <f t="shared" si="15"/>
        <v>6182.7</v>
      </c>
      <c r="W43" s="240">
        <f>VLOOKUP($A43,'Indicadores Financeiros'!$A$145:$J$208,10)</f>
        <v>1</v>
      </c>
      <c r="X43" s="64">
        <f>U43*IF(H43="Mensal",('Indicadores Financeiros'!$F$14-W43+1),IF(H43="Trimestral",INT(('Indicadores Financeiros'!$F$14-W43+1)/3),INT(('Indicadores Financeiros'!$F$14-W43+1)/12)))*K43</f>
        <v>185481</v>
      </c>
      <c r="Y43" s="75"/>
      <c r="Z43" s="64">
        <f t="shared" si="16"/>
        <v>1882.34</v>
      </c>
      <c r="AA43" s="64">
        <f>ROUND('Indicadores Financeiros'!$J$71*$Z43,4)</f>
        <v>602.16060000000004</v>
      </c>
      <c r="AB43" s="25"/>
      <c r="AC43" s="23">
        <f t="shared" si="4"/>
        <v>294.41000000000003</v>
      </c>
      <c r="AD43" s="23">
        <f>ROUND((ROUND(VLOOKUP($E43,'Tabela de Códigos e Valores'!$A:$AB,26,FALSE)/I43,2)+ROUND(P43/I43,2)+ROUND(M43*'Indicadores Financeiros'!$J$61/I43,2)+ROUND(R43/I43,2))*(1+T43),2)</f>
        <v>85.82</v>
      </c>
      <c r="AE43" s="23">
        <f>IF(G43="posto",IF(OR(E43=690018,E43=690019),'Indicadores Financeiros'!$J$117,IF(OR(E43=690002,E43=690016,E43=690019,E43=690035,E43=690038,E43=690064),'Indicadores Financeiros'!$G$117/2*(1+T43),'Indicadores Financeiros'!$G$117*(1+T43))),0)</f>
        <v>0</v>
      </c>
      <c r="AF43" s="58"/>
      <c r="AG43" s="31"/>
      <c r="AH43" s="273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</row>
    <row r="44" spans="1:346" s="26" customFormat="1" ht="24" x14ac:dyDescent="0.25">
      <c r="A44" s="21">
        <v>2</v>
      </c>
      <c r="B44" s="21">
        <f>VLOOKUP($A44,'Indicadores Financeiros'!$A$145:$J$306,2,FALSE)</f>
        <v>13</v>
      </c>
      <c r="C44" s="22" t="str">
        <f>VLOOKUP($A44,'Indicadores Financeiros'!$A$145:$J$306,3,FALSE)</f>
        <v>Araraquara I - Fórum Principal</v>
      </c>
      <c r="D44" s="353" t="str">
        <f>VLOOKUP($B44,BIP!A:E,5,FALSE)</f>
        <v>Araraquara</v>
      </c>
      <c r="E44" s="3">
        <v>690014</v>
      </c>
      <c r="F44" s="7" t="str">
        <f>VLOOKUP($E44,'Tabela de Códigos e Valores'!$A:$M,2,FALSE)</f>
        <v>Limpador(a) de vidros - noturno - 44 horas semanais</v>
      </c>
      <c r="G44" s="7" t="str">
        <f>VLOOKUP($E44,'Tabela de Códigos e Valores'!$A:$M,5,FALSE)</f>
        <v>Posto</v>
      </c>
      <c r="H44" s="7" t="str">
        <f>VLOOKUP($E44,'Tabela de Códigos e Valores'!$A:$M,6,FALSE)</f>
        <v>Mensal</v>
      </c>
      <c r="I44" s="180">
        <f>VLOOKUP($E44,'Tabela de Códigos e Valores'!$A:$M,7,FALSE)</f>
        <v>21</v>
      </c>
      <c r="J44" s="180">
        <f>VLOOKUP($E44,'Tabela de Códigos e Valores'!$A:$M,8,FALSE)</f>
        <v>0</v>
      </c>
      <c r="K44" s="284">
        <v>1</v>
      </c>
      <c r="L44" s="193">
        <f>IFERROR(VLOOKUP(E44,'Indicadores Financeiros'!$A$90:$J$92,10,FALSE),0)</f>
        <v>0</v>
      </c>
      <c r="M44" s="180">
        <f>VLOOKUP($E44,'Tabela de Códigos e Valores'!$A:$Z,16,FALSE)</f>
        <v>2402.89</v>
      </c>
      <c r="N44" s="180">
        <f>VLOOKUP($E44,'Tabela de Códigos e Valores'!$A:$Z,17,FALSE)</f>
        <v>1872.25</v>
      </c>
      <c r="O44" s="180">
        <f>VLOOKUP($E44,'Tabela de Códigos e Valores'!$A:$AAB,28,FALSE)</f>
        <v>635.36</v>
      </c>
      <c r="P44" s="180">
        <f>ROUND(IF($G44&lt;&gt;"M2",IF(VLOOKUP($E44,'Tabela de Códigos e Valores'!$A:$J,10,FALSE)*6%&gt;=VLOOKUP('Relatório Custo'!$A44,'Indicadores Financeiros'!$A$145:$I$208,9,FALSE)*'Relatório Custo'!I44,0,VLOOKUP('Relatório Custo'!$A44,'Indicadores Financeiros'!$A$145:$I$208,9,FALSE)*'Relatório Custo'!I44-VLOOKUP($E44,'Tabela de Códigos e Valores'!$A:$J,10,FALSE)*6%),0),2)</f>
        <v>117.64</v>
      </c>
      <c r="Q44" s="180">
        <f>VLOOKUP($E44,'Tabela de Códigos e Valores'!$A:$AAC,30,FALSE)</f>
        <v>107.18</v>
      </c>
      <c r="R44" s="180">
        <f>ROUND(ROUND(($M44+$N44+$O44+$P44+$Q44),2)*VLOOKUP($E44,'Tabela de Códigos e Valores'!$A:$AE,31,FALSE)/(1-VLOOKUP($E44,'Tabela de Códigos e Valores'!$A:$AE,31,FALSE)),2)</f>
        <v>700.27</v>
      </c>
      <c r="S44" s="24">
        <f t="shared" si="0"/>
        <v>5835.59</v>
      </c>
      <c r="T44" s="182">
        <f>VLOOKUP($A44,'Indicadores Financeiros'!$A$145:$J$208,8,FALSE)</f>
        <v>0.29260000000000003</v>
      </c>
      <c r="U44" s="24">
        <f t="shared" si="14"/>
        <v>7543.08</v>
      </c>
      <c r="V44" s="32">
        <f t="shared" si="15"/>
        <v>7543.08</v>
      </c>
      <c r="W44" s="240">
        <f>VLOOKUP($A44,'Indicadores Financeiros'!$A$145:$J$208,10)</f>
        <v>1</v>
      </c>
      <c r="X44" s="64">
        <f>U44*IF(H44="Mensal",('Indicadores Financeiros'!$F$14-W44+1),IF(H44="Trimestral",INT(('Indicadores Financeiros'!$F$14-W44+1)/3),INT(('Indicadores Financeiros'!$F$14-W44+1)/12)))*K44</f>
        <v>226292.4</v>
      </c>
      <c r="Y44" s="75"/>
      <c r="Z44" s="64">
        <f t="shared" si="16"/>
        <v>2402.89</v>
      </c>
      <c r="AA44" s="64">
        <f>ROUND('Indicadores Financeiros'!$J$71*$Z44,4)</f>
        <v>768.68449999999996</v>
      </c>
      <c r="AB44" s="25"/>
      <c r="AC44" s="23">
        <f t="shared" si="4"/>
        <v>359.19</v>
      </c>
      <c r="AD44" s="23">
        <f>ROUND((ROUND(VLOOKUP($E44,'Tabela de Códigos e Valores'!$A:$AB,26,FALSE)/I44,2)+ROUND(P44/I44,2)+ROUND(M44*'Indicadores Financeiros'!$J$61/I44,2)+ROUND(R44/I44,2))*(1+T44),2)</f>
        <v>98.64</v>
      </c>
      <c r="AE44" s="23">
        <f>IF(G44="posto",IF(OR(E44=690018,E44=690019),'Indicadores Financeiros'!$J$117,IF(OR(E44=690002,E44=690016,E44=690019,E44=690035,E44=690038,E44=690064),'Indicadores Financeiros'!$G$117/2*(1+T44),'Indicadores Financeiros'!$G$117*(1+T44))),0)</f>
        <v>0</v>
      </c>
      <c r="AF44" s="58"/>
      <c r="AG44" s="31"/>
      <c r="AH44" s="273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</row>
    <row r="45" spans="1:346" s="26" customFormat="1" ht="24" x14ac:dyDescent="0.25">
      <c r="A45" s="21">
        <v>2</v>
      </c>
      <c r="B45" s="21">
        <f>VLOOKUP($A45,'Indicadores Financeiros'!$A$145:$J$306,2,FALSE)</f>
        <v>13</v>
      </c>
      <c r="C45" s="22" t="str">
        <f>VLOOKUP($A45,'Indicadores Financeiros'!$A$145:$J$306,3,FALSE)</f>
        <v>Araraquara I - Fórum Principal</v>
      </c>
      <c r="D45" s="353" t="str">
        <f>VLOOKUP($B45,BIP!A:E,5,FALSE)</f>
        <v>Araraquara</v>
      </c>
      <c r="E45" s="3">
        <v>690015</v>
      </c>
      <c r="F45" s="7" t="str">
        <f>VLOOKUP($E45,'Tabela de Códigos e Valores'!$A:$M,2,FALSE)</f>
        <v>Limpador(a) de vidros com exposição à risco - diurno - 44 horas semanais</v>
      </c>
      <c r="G45" s="7" t="str">
        <f>VLOOKUP($E45,'Tabela de Códigos e Valores'!$A:$M,5,FALSE)</f>
        <v>Posto</v>
      </c>
      <c r="H45" s="7" t="str">
        <f>VLOOKUP($E45,'Tabela de Códigos e Valores'!$A:$M,6,FALSE)</f>
        <v>Mensal</v>
      </c>
      <c r="I45" s="180">
        <f>VLOOKUP($E45,'Tabela de Códigos e Valores'!$A:$M,7,FALSE)</f>
        <v>21</v>
      </c>
      <c r="J45" s="180">
        <f>VLOOKUP($E45,'Tabela de Códigos e Valores'!$A:$M,8,FALSE)</f>
        <v>0</v>
      </c>
      <c r="K45" s="284">
        <v>1</v>
      </c>
      <c r="L45" s="193">
        <f>IFERROR(VLOOKUP(E45,'Indicadores Financeiros'!$A$90:$J$92,10,FALSE),0)</f>
        <v>0</v>
      </c>
      <c r="M45" s="180">
        <f>VLOOKUP($E45,'Tabela de Códigos e Valores'!$A:$Z,16,FALSE)</f>
        <v>2447.04</v>
      </c>
      <c r="N45" s="180">
        <f>VLOOKUP($E45,'Tabela de Códigos e Valores'!$A:$Z,17,FALSE)</f>
        <v>1906.65</v>
      </c>
      <c r="O45" s="180">
        <f>VLOOKUP($E45,'Tabela de Códigos e Valores'!$A:$AAB,28,FALSE)</f>
        <v>635.36</v>
      </c>
      <c r="P45" s="180">
        <f>ROUND(IF($G45&lt;&gt;"M2",IF(VLOOKUP($E45,'Tabela de Códigos e Valores'!$A:$J,10,FALSE)*6%&gt;=VLOOKUP('Relatório Custo'!$A45,'Indicadores Financeiros'!$A$145:$I$208,9,FALSE)*'Relatório Custo'!I45,0,VLOOKUP('Relatório Custo'!$A45,'Indicadores Financeiros'!$A$145:$I$208,9,FALSE)*'Relatório Custo'!I45-VLOOKUP($E45,'Tabela de Códigos e Valores'!$A:$J,10,FALSE)*6%),0),2)</f>
        <v>117.64</v>
      </c>
      <c r="Q45" s="180">
        <f>VLOOKUP($E45,'Tabela de Códigos e Valores'!$A:$AAC,30,FALSE)</f>
        <v>107.18</v>
      </c>
      <c r="R45" s="180">
        <f>ROUND(ROUND(($M45+$N45+$O45+$P45+$Q45),2)*VLOOKUP($E45,'Tabela de Códigos e Valores'!$A:$AE,31,FALSE)/(1-VLOOKUP($E45,'Tabela de Códigos e Valores'!$A:$AE,31,FALSE)),2)</f>
        <v>710.98</v>
      </c>
      <c r="S45" s="24">
        <f t="shared" si="0"/>
        <v>5924.85</v>
      </c>
      <c r="T45" s="182">
        <f>VLOOKUP($A45,'Indicadores Financeiros'!$A$145:$J$208,8,FALSE)</f>
        <v>0.29260000000000003</v>
      </c>
      <c r="U45" s="24">
        <f t="shared" si="14"/>
        <v>7658.46</v>
      </c>
      <c r="V45" s="32">
        <f t="shared" si="15"/>
        <v>7658.46</v>
      </c>
      <c r="W45" s="240">
        <f>VLOOKUP($A45,'Indicadores Financeiros'!$A$145:$J$208,10)</f>
        <v>1</v>
      </c>
      <c r="X45" s="64">
        <f>U45*IF(H45="Mensal",('Indicadores Financeiros'!$F$14-W45+1),IF(H45="Trimestral",INT(('Indicadores Financeiros'!$F$14-W45+1)/3),INT(('Indicadores Financeiros'!$F$14-W45+1)/12)))*K45</f>
        <v>229753.8</v>
      </c>
      <c r="Y45" s="75"/>
      <c r="Z45" s="64">
        <f t="shared" si="16"/>
        <v>2447.04</v>
      </c>
      <c r="AA45" s="64">
        <f>ROUND('Indicadores Financeiros'!$J$71*$Z45,4)</f>
        <v>782.80809999999997</v>
      </c>
      <c r="AB45" s="25"/>
      <c r="AC45" s="23">
        <f t="shared" si="4"/>
        <v>364.69</v>
      </c>
      <c r="AD45" s="23">
        <f>ROUND((ROUND(VLOOKUP($E45,'Tabela de Códigos e Valores'!$A:$AB,26,FALSE)/I45,2)+ROUND(P45/I45,2)+ROUND(M45*'Indicadores Financeiros'!$J$61/I45,2)+ROUND(R45/I45,2))*(1+T45),2)</f>
        <v>99.72</v>
      </c>
      <c r="AE45" s="23">
        <f>IF(G45="posto",IF(OR(E45=690018,E45=690019),'Indicadores Financeiros'!$J$117,IF(OR(E45=690002,E45=690016,E45=690019,E45=690035,E45=690038,E45=690064),'Indicadores Financeiros'!$G$117/2*(1+T45),'Indicadores Financeiros'!$G$117*(1+T45))),0)</f>
        <v>0</v>
      </c>
      <c r="AF45" s="58"/>
      <c r="AG45" s="31"/>
      <c r="AH45" s="273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</row>
    <row r="46" spans="1:346" s="26" customFormat="1" ht="24" x14ac:dyDescent="0.25">
      <c r="A46" s="21">
        <v>2</v>
      </c>
      <c r="B46" s="21">
        <f>VLOOKUP($A46,'Indicadores Financeiros'!$A$145:$J$306,2,FALSE)</f>
        <v>13</v>
      </c>
      <c r="C46" s="22" t="str">
        <f>VLOOKUP($A46,'Indicadores Financeiros'!$A$145:$J$306,3,FALSE)</f>
        <v>Araraquara I - Fórum Principal</v>
      </c>
      <c r="D46" s="353" t="str">
        <f>VLOOKUP($B46,BIP!A:E,5,FALSE)</f>
        <v>Araraquara</v>
      </c>
      <c r="E46" s="3">
        <v>690016</v>
      </c>
      <c r="F46" s="7" t="str">
        <f>VLOOKUP($E46,'Tabela de Códigos e Valores'!$A:$M,2,FALSE)</f>
        <v>Limpador(a) de vidros com exposição à risco - diurno - 24 horas semanais</v>
      </c>
      <c r="G46" s="7" t="str">
        <f>VLOOKUP($E46,'Tabela de Códigos e Valores'!$A:$M,5,FALSE)</f>
        <v>Posto</v>
      </c>
      <c r="H46" s="7" t="str">
        <f>VLOOKUP($E46,'Tabela de Códigos e Valores'!$A:$M,6,FALSE)</f>
        <v>Mensal</v>
      </c>
      <c r="I46" s="180">
        <f>VLOOKUP($E46,'Tabela de Códigos e Valores'!$A:$M,7,FALSE)</f>
        <v>21</v>
      </c>
      <c r="J46" s="180">
        <f>VLOOKUP($E46,'Tabela de Códigos e Valores'!$A:$M,8,FALSE)</f>
        <v>0</v>
      </c>
      <c r="K46" s="284">
        <v>1</v>
      </c>
      <c r="L46" s="193">
        <f>IFERROR(VLOOKUP(E46,'Indicadores Financeiros'!$A$90:$J$92,10,FALSE),0)</f>
        <v>0</v>
      </c>
      <c r="M46" s="180">
        <f>VLOOKUP($E46,'Tabela de Códigos e Valores'!$A:$Z,16,FALSE)</f>
        <v>1468.22</v>
      </c>
      <c r="N46" s="180">
        <f>VLOOKUP($E46,'Tabela de Códigos e Valores'!$A:$Z,17,FALSE)</f>
        <v>1143.99</v>
      </c>
      <c r="O46" s="180">
        <f>VLOOKUP($E46,'Tabela de Códigos e Valores'!$A:$AAB,28,FALSE)</f>
        <v>228.59</v>
      </c>
      <c r="P46" s="180">
        <f>ROUND(IF($G46&lt;&gt;"M2",IF(VLOOKUP($E46,'Tabela de Códigos e Valores'!$A:$J,10,FALSE)*6%&gt;=VLOOKUP('Relatório Custo'!$A46,'Indicadores Financeiros'!$A$145:$I$208,9,FALSE)*'Relatório Custo'!I46,0,VLOOKUP('Relatório Custo'!$A46,'Indicadores Financeiros'!$A$145:$I$208,9,FALSE)*'Relatório Custo'!I46-VLOOKUP($E46,'Tabela de Códigos e Valores'!$A:$J,10,FALSE)*6%),0),2)</f>
        <v>162.82</v>
      </c>
      <c r="Q46" s="180">
        <f>VLOOKUP($E46,'Tabela de Códigos e Valores'!$A:$AAC,30,FALSE)</f>
        <v>107.18</v>
      </c>
      <c r="R46" s="180">
        <f>ROUND(ROUND(($M46+$N46+$O46+$P46+$Q46),2)*VLOOKUP($E46,'Tabela de Códigos e Valores'!$A:$AE,31,FALSE)/(1-VLOOKUP($E46,'Tabela de Códigos e Valores'!$A:$AE,31,FALSE)),2)</f>
        <v>424.2</v>
      </c>
      <c r="S46" s="24">
        <f t="shared" si="0"/>
        <v>3535</v>
      </c>
      <c r="T46" s="182">
        <f>VLOOKUP($A46,'Indicadores Financeiros'!$A$145:$J$208,8,FALSE)</f>
        <v>0.29260000000000003</v>
      </c>
      <c r="U46" s="24">
        <f t="shared" si="14"/>
        <v>4569.34</v>
      </c>
      <c r="V46" s="32">
        <f t="shared" si="15"/>
        <v>4569.34</v>
      </c>
      <c r="W46" s="240">
        <f>VLOOKUP($A46,'Indicadores Financeiros'!$A$145:$J$208,10)</f>
        <v>1</v>
      </c>
      <c r="X46" s="64">
        <f>U46*IF(H46="Mensal",('Indicadores Financeiros'!$F$14-W46+1),IF(H46="Trimestral",INT(('Indicadores Financeiros'!$F$14-W46+1)/3),INT(('Indicadores Financeiros'!$F$14-W46+1)/12)))*K46</f>
        <v>137080.20000000001</v>
      </c>
      <c r="Y46" s="75"/>
      <c r="Z46" s="64">
        <f t="shared" si="16"/>
        <v>1468.22</v>
      </c>
      <c r="AA46" s="64">
        <f>ROUND('Indicadores Financeiros'!$J$71*$Z46,4)</f>
        <v>469.68360000000001</v>
      </c>
      <c r="AB46" s="25"/>
      <c r="AC46" s="23">
        <f t="shared" si="4"/>
        <v>217.59</v>
      </c>
      <c r="AD46" s="23">
        <f>ROUND((ROUND(VLOOKUP($E46,'Tabela de Códigos e Valores'!$A:$AB,26,FALSE)/I46,2)+ROUND(P46/I46,2)+ROUND(M46*'Indicadores Financeiros'!$J$61/I46,2)+ROUND(R46/I46,2))*(1+T46),2)</f>
        <v>50.33</v>
      </c>
      <c r="AE46" s="23">
        <f>IF(G46="posto",IF(OR(E46=690018,E46=690019),'Indicadores Financeiros'!$J$117,IF(OR(E46=690002,E46=690016,E46=690019,E46=690035,E46=690038,E46=690064),'Indicadores Financeiros'!$G$117/2*(1+T46),'Indicadores Financeiros'!$G$117*(1+T46))),0)</f>
        <v>0</v>
      </c>
      <c r="AF46" s="58"/>
      <c r="AG46" s="31"/>
      <c r="AH46" s="273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</row>
    <row r="47" spans="1:346" s="26" customFormat="1" ht="24" x14ac:dyDescent="0.25">
      <c r="A47" s="21">
        <v>2</v>
      </c>
      <c r="B47" s="21">
        <f>VLOOKUP($A47,'Indicadores Financeiros'!$A$145:$J$306,2,FALSE)</f>
        <v>13</v>
      </c>
      <c r="C47" s="22" t="str">
        <f>VLOOKUP($A47,'Indicadores Financeiros'!$A$145:$J$306,3,FALSE)</f>
        <v>Araraquara I - Fórum Principal</v>
      </c>
      <c r="D47" s="353" t="str">
        <f>VLOOKUP($B47,BIP!A:E,5,FALSE)</f>
        <v>Araraquara</v>
      </c>
      <c r="E47" s="73">
        <v>690017</v>
      </c>
      <c r="F47" s="7" t="str">
        <f>VLOOKUP($E47,'Tabela de Códigos e Valores'!$A:$M,2,FALSE)</f>
        <v>Limpador(a) de vidros com exposição à risco - noturno - 44 horas semanais</v>
      </c>
      <c r="G47" s="7" t="str">
        <f>VLOOKUP($E47,'Tabela de Códigos e Valores'!$A:$M,5,FALSE)</f>
        <v>Posto</v>
      </c>
      <c r="H47" s="7" t="str">
        <f>VLOOKUP($E47,'Tabela de Códigos e Valores'!$A:$M,6,FALSE)</f>
        <v>Mensal</v>
      </c>
      <c r="I47" s="180">
        <f>VLOOKUP($E47,'Tabela de Códigos e Valores'!$A:$M,7,FALSE)</f>
        <v>21</v>
      </c>
      <c r="J47" s="180">
        <f>VLOOKUP($E47,'Tabela de Códigos e Valores'!$A:$M,8,FALSE)</f>
        <v>0</v>
      </c>
      <c r="K47" s="284">
        <v>1</v>
      </c>
      <c r="L47" s="193">
        <f>IFERROR(VLOOKUP(E47,'Indicadores Financeiros'!$A$90:$J$92,10,FALSE),0)</f>
        <v>0</v>
      </c>
      <c r="M47" s="180">
        <f>VLOOKUP($E47,'Tabela de Códigos e Valores'!$A:$Z,16,FALSE)</f>
        <v>2967.59</v>
      </c>
      <c r="N47" s="180">
        <f>VLOOKUP($E47,'Tabela de Códigos e Valores'!$A:$Z,17,FALSE)</f>
        <v>2312.2399999999998</v>
      </c>
      <c r="O47" s="180">
        <f>VLOOKUP($E47,'Tabela de Códigos e Valores'!$A:$AAB,28,FALSE)</f>
        <v>635.36</v>
      </c>
      <c r="P47" s="180">
        <f>ROUND(IF($G47&lt;&gt;"M2",IF(VLOOKUP($E47,'Tabela de Códigos e Valores'!$A:$J,10,FALSE)*6%&gt;=VLOOKUP('Relatório Custo'!$A47,'Indicadores Financeiros'!$A$145:$I$208,9,FALSE)*'Relatório Custo'!I47,0,VLOOKUP('Relatório Custo'!$A47,'Indicadores Financeiros'!$A$145:$I$208,9,FALSE)*'Relatório Custo'!I47-VLOOKUP($E47,'Tabela de Códigos e Valores'!$A:$J,10,FALSE)*6%),0),2)</f>
        <v>117.64</v>
      </c>
      <c r="Q47" s="180">
        <f>VLOOKUP($E47,'Tabela de Códigos e Valores'!$A:$AAC,30,FALSE)</f>
        <v>107.18</v>
      </c>
      <c r="R47" s="180">
        <f>ROUND(ROUND(($M47+$N47+$O47+$P47+$Q47),2)*VLOOKUP($E47,'Tabela de Códigos e Valores'!$A:$AE,31,FALSE)/(1-VLOOKUP($E47,'Tabela de Códigos e Valores'!$A:$AE,31,FALSE)),2)</f>
        <v>837.27</v>
      </c>
      <c r="S47" s="24">
        <f t="shared" si="0"/>
        <v>6977.2800000000007</v>
      </c>
      <c r="T47" s="182">
        <f>VLOOKUP($A47,'Indicadores Financeiros'!$A$145:$J$208,8,FALSE)</f>
        <v>0.29260000000000003</v>
      </c>
      <c r="U47" s="24">
        <f t="shared" si="14"/>
        <v>9018.83</v>
      </c>
      <c r="V47" s="32">
        <f t="shared" si="15"/>
        <v>9018.83</v>
      </c>
      <c r="W47" s="240">
        <f>VLOOKUP($A47,'Indicadores Financeiros'!$A$145:$J$208,10)</f>
        <v>1</v>
      </c>
      <c r="X47" s="64">
        <f>U47*IF(H47="Mensal",('Indicadores Financeiros'!$F$14-W47+1),IF(H47="Trimestral",INT(('Indicadores Financeiros'!$F$14-W47+1)/3),INT(('Indicadores Financeiros'!$F$14-W47+1)/12)))*K47</f>
        <v>270564.90000000002</v>
      </c>
      <c r="Y47" s="75"/>
      <c r="Z47" s="64">
        <f t="shared" si="16"/>
        <v>2967.59</v>
      </c>
      <c r="AA47" s="64">
        <f>ROUND('Indicadores Financeiros'!$J$71*$Z47,4)</f>
        <v>949.33199999999999</v>
      </c>
      <c r="AB47" s="25"/>
      <c r="AC47" s="23">
        <f t="shared" si="4"/>
        <v>429.47</v>
      </c>
      <c r="AD47" s="23">
        <f>ROUND((ROUND(VLOOKUP($E47,'Tabela de Códigos e Valores'!$A:$AB,26,FALSE)/I47,2)+ROUND(P47/I47,2)+ROUND(M47*'Indicadores Financeiros'!$J$61/I47,2)+ROUND(R47/I47,2))*(1+T47),2)</f>
        <v>112.52</v>
      </c>
      <c r="AE47" s="23">
        <f>IF(G47="posto",IF(OR(E47=690018,E47=690019),'Indicadores Financeiros'!$J$117,IF(OR(E47=690002,E47=690016,E47=690019,E47=690035,E47=690038,E47=690064),'Indicadores Financeiros'!$G$117/2*(1+T47),'Indicadores Financeiros'!$G$117*(1+T47))),0)</f>
        <v>0</v>
      </c>
      <c r="AF47" s="58"/>
      <c r="AG47" s="31"/>
      <c r="AH47" s="273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</row>
    <row r="48" spans="1:346" s="26" customFormat="1" x14ac:dyDescent="0.25">
      <c r="A48" s="21">
        <v>2</v>
      </c>
      <c r="B48" s="21">
        <f>VLOOKUP($A48,'Indicadores Financeiros'!$A$145:$J$306,2,FALSE)</f>
        <v>13</v>
      </c>
      <c r="C48" s="22" t="str">
        <f>VLOOKUP($A48,'Indicadores Financeiros'!$A$145:$J$306,3,FALSE)</f>
        <v>Araraquara I - Fórum Principal</v>
      </c>
      <c r="D48" s="353" t="str">
        <f>VLOOKUP($B48,BIP!A:E,5,FALSE)</f>
        <v>Araraquara</v>
      </c>
      <c r="E48" s="73">
        <v>690018</v>
      </c>
      <c r="F48" s="7" t="str">
        <f>VLOOKUP($E48,'Tabela de Códigos e Valores'!$A:$M,2,FALSE)</f>
        <v>Jardineiro(a) - 44 horas semanais</v>
      </c>
      <c r="G48" s="7" t="str">
        <f>VLOOKUP($E48,'Tabela de Códigos e Valores'!$A:$M,5,FALSE)</f>
        <v>Posto</v>
      </c>
      <c r="H48" s="7" t="str">
        <f>VLOOKUP($E48,'Tabela de Códigos e Valores'!$A:$M,6,FALSE)</f>
        <v>Mensal</v>
      </c>
      <c r="I48" s="180">
        <f>VLOOKUP($E48,'Tabela de Códigos e Valores'!$A:$M,7,FALSE)</f>
        <v>21</v>
      </c>
      <c r="J48" s="180">
        <f>VLOOKUP($E48,'Tabela de Códigos e Valores'!$A:$M,8,FALSE)</f>
        <v>0</v>
      </c>
      <c r="K48" s="284">
        <v>1</v>
      </c>
      <c r="L48" s="193">
        <f>IFERROR(VLOOKUP(E48,'Indicadores Financeiros'!$A$90:$J$92,10,FALSE),0)</f>
        <v>0</v>
      </c>
      <c r="M48" s="180">
        <f>VLOOKUP($E48,'Tabela de Códigos e Valores'!$A:$Z,16,FALSE)</f>
        <v>2078.87</v>
      </c>
      <c r="N48" s="180">
        <f>VLOOKUP($E48,'Tabela de Códigos e Valores'!$A:$Z,17,FALSE)</f>
        <v>1619.78</v>
      </c>
      <c r="O48" s="180">
        <f>VLOOKUP($E48,'Tabela de Códigos e Valores'!$A:$AAB,28,FALSE)</f>
        <v>429.73</v>
      </c>
      <c r="P48" s="180">
        <f>ROUND(IF($G48&lt;&gt;"M2",IF(VLOOKUP($E48,'Tabela de Códigos e Valores'!$A:$J,10,FALSE)*6%&gt;=VLOOKUP('Relatório Custo'!$A48,'Indicadores Financeiros'!$A$145:$I$208,9,FALSE)*'Relatório Custo'!I48,0,VLOOKUP('Relatório Custo'!$A48,'Indicadores Financeiros'!$A$145:$I$208,9,FALSE)*'Relatório Custo'!I48-VLOOKUP($E48,'Tabela de Códigos e Valores'!$A:$J,10,FALSE)*6%),0),2)</f>
        <v>126.64</v>
      </c>
      <c r="Q48" s="180">
        <f>VLOOKUP($E48,'Tabela de Códigos e Valores'!$A:$AAC,30,FALSE)</f>
        <v>108.4</v>
      </c>
      <c r="R48" s="180">
        <f>ROUND(ROUND(($M48+$N48+$O48+$P48+$Q48),2)*VLOOKUP($E48,'Tabela de Códigos e Valores'!$A:$AE,31,FALSE)/(1-VLOOKUP($E48,'Tabela de Códigos e Valores'!$A:$AE,31,FALSE)),2)</f>
        <v>595.01</v>
      </c>
      <c r="S48" s="24">
        <f t="shared" si="0"/>
        <v>4958.4299999999994</v>
      </c>
      <c r="T48" s="182">
        <f>VLOOKUP($A48,'Indicadores Financeiros'!$A$145:$J$208,8,FALSE)</f>
        <v>0.29260000000000003</v>
      </c>
      <c r="U48" s="24">
        <f t="shared" si="14"/>
        <v>6409.27</v>
      </c>
      <c r="V48" s="32">
        <f t="shared" si="15"/>
        <v>6409.27</v>
      </c>
      <c r="W48" s="240">
        <f>VLOOKUP($A48,'Indicadores Financeiros'!$A$145:$J$208,10)</f>
        <v>1</v>
      </c>
      <c r="X48" s="64">
        <f>U48*IF(H48="Mensal",('Indicadores Financeiros'!$F$14-W48+1),IF(H48="Trimestral",INT(('Indicadores Financeiros'!$F$14-W48+1)/3),INT(('Indicadores Financeiros'!$F$14-W48+1)/12)))*K48</f>
        <v>192278.1</v>
      </c>
      <c r="Y48" s="75"/>
      <c r="Z48" s="64">
        <f t="shared" si="16"/>
        <v>2078.87</v>
      </c>
      <c r="AA48" s="64">
        <f>ROUND('Indicadores Financeiros'!$J$71*$Z48,4)</f>
        <v>665.03049999999996</v>
      </c>
      <c r="AB48" s="25"/>
      <c r="AC48" s="23">
        <f t="shared" si="4"/>
        <v>305.2</v>
      </c>
      <c r="AD48" s="23">
        <f>ROUND((ROUND(VLOOKUP($E48,'Tabela de Códigos e Valores'!$A:$AB,26,FALSE)/I48,2)+ROUND(P48/I48,2)+ROUND(M48*'Indicadores Financeiros'!$J$61/I48,2)+ROUND(R48/I48,2))*(1+T48),2)</f>
        <v>78.87</v>
      </c>
      <c r="AE48" s="23">
        <f>IF(G48="posto",IF(OR(E48=690018,E48=690019),'Indicadores Financeiros'!$J$117,IF(OR(E48=690002,E48=690016,E48=690019,E48=690035,E48=690038,E48=690064),'Indicadores Financeiros'!$G$117/2*(1+T48),'Indicadores Financeiros'!$G$117*(1+T48))),0)</f>
        <v>0</v>
      </c>
      <c r="AF48" s="58"/>
      <c r="AG48" s="31"/>
      <c r="AH48" s="273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</row>
    <row r="49" spans="1:346" s="26" customFormat="1" x14ac:dyDescent="0.25">
      <c r="A49" s="21">
        <v>2</v>
      </c>
      <c r="B49" s="21">
        <f>VLOOKUP($A49,'Indicadores Financeiros'!$A$145:$J$306,2,FALSE)</f>
        <v>13</v>
      </c>
      <c r="C49" s="22" t="str">
        <f>VLOOKUP($A49,'Indicadores Financeiros'!$A$145:$J$306,3,FALSE)</f>
        <v>Araraquara I - Fórum Principal</v>
      </c>
      <c r="D49" s="353" t="str">
        <f>VLOOKUP($B49,BIP!A:E,5,FALSE)</f>
        <v>Araraquara</v>
      </c>
      <c r="E49" s="73">
        <v>690019</v>
      </c>
      <c r="F49" s="7" t="str">
        <f>VLOOKUP($E49,'Tabela de Códigos e Valores'!$A:$M,2,FALSE)</f>
        <v>Jardineiro(a) - 24 horas semanais</v>
      </c>
      <c r="G49" s="7" t="str">
        <f>VLOOKUP($E49,'Tabela de Códigos e Valores'!$A:$M,5,FALSE)</f>
        <v>Posto</v>
      </c>
      <c r="H49" s="7" t="str">
        <f>VLOOKUP($E49,'Tabela de Códigos e Valores'!$A:$M,6,FALSE)</f>
        <v>Mensal</v>
      </c>
      <c r="I49" s="180">
        <f>VLOOKUP($E49,'Tabela de Códigos e Valores'!$A:$M,7,FALSE)</f>
        <v>21</v>
      </c>
      <c r="J49" s="180">
        <f>VLOOKUP($E49,'Tabela de Códigos e Valores'!$A:$M,8,FALSE)</f>
        <v>0</v>
      </c>
      <c r="K49" s="284">
        <v>1</v>
      </c>
      <c r="L49" s="193">
        <f>IFERROR(VLOOKUP(E49,'Indicadores Financeiros'!$A$90:$J$92,10,FALSE),0)</f>
        <v>0</v>
      </c>
      <c r="M49" s="180">
        <f>VLOOKUP($E49,'Tabela de Códigos e Valores'!$A:$Z,16,FALSE)</f>
        <v>1385.91</v>
      </c>
      <c r="N49" s="180">
        <f>VLOOKUP($E49,'Tabela de Códigos e Valores'!$A:$Z,17,FALSE)</f>
        <v>1079.8499999999999</v>
      </c>
      <c r="O49" s="180">
        <f>VLOOKUP($E49,'Tabela de Códigos e Valores'!$A:$AAB,28,FALSE)</f>
        <v>429.73</v>
      </c>
      <c r="P49" s="180">
        <f>ROUND(IF($G49&lt;&gt;"M2",IF(VLOOKUP($E49,'Tabela de Códigos e Valores'!$A:$J,10,FALSE)*6%&gt;=VLOOKUP('Relatório Custo'!$A49,'Indicadores Financeiros'!$A$145:$I$208,9,FALSE)*'Relatório Custo'!I49,0,VLOOKUP('Relatório Custo'!$A49,'Indicadores Financeiros'!$A$145:$I$208,9,FALSE)*'Relatório Custo'!I49-VLOOKUP($E49,'Tabela de Códigos e Valores'!$A:$J,10,FALSE)*6%),0),2)</f>
        <v>168.21</v>
      </c>
      <c r="Q49" s="180">
        <f>VLOOKUP($E49,'Tabela de Códigos e Valores'!$A:$AAC,30,FALSE)</f>
        <v>108.4</v>
      </c>
      <c r="R49" s="180">
        <f>ROUND(ROUND(($M49+$N49+$O49+$P49+$Q49),2)*VLOOKUP($E49,'Tabela de Códigos e Valores'!$A:$AE,31,FALSE)/(1-VLOOKUP($E49,'Tabela de Códigos e Valores'!$A:$AE,31,FALSE)),2)</f>
        <v>432.56</v>
      </c>
      <c r="S49" s="24">
        <f t="shared" si="0"/>
        <v>3604.6600000000003</v>
      </c>
      <c r="T49" s="182">
        <f>VLOOKUP($A49,'Indicadores Financeiros'!$A$145:$J$208,8,FALSE)</f>
        <v>0.29260000000000003</v>
      </c>
      <c r="U49" s="24">
        <f t="shared" si="14"/>
        <v>4659.38</v>
      </c>
      <c r="V49" s="32">
        <f t="shared" si="15"/>
        <v>4659.38</v>
      </c>
      <c r="W49" s="240">
        <f>VLOOKUP($A49,'Indicadores Financeiros'!$A$145:$J$208,10)</f>
        <v>1</v>
      </c>
      <c r="X49" s="64">
        <f>U49*IF(H49="Mensal",('Indicadores Financeiros'!$F$14-W49+1),IF(H49="Trimestral",INT(('Indicadores Financeiros'!$F$14-W49+1)/3),INT(('Indicadores Financeiros'!$F$14-W49+1)/12)))*K49</f>
        <v>139781.4</v>
      </c>
      <c r="Y49" s="75"/>
      <c r="Z49" s="64">
        <f t="shared" si="16"/>
        <v>1385.91</v>
      </c>
      <c r="AA49" s="64">
        <f>ROUND('Indicadores Financeiros'!$J$71*$Z49,4)</f>
        <v>443.3526</v>
      </c>
      <c r="AB49" s="25"/>
      <c r="AC49" s="23">
        <f t="shared" si="4"/>
        <v>221.88</v>
      </c>
      <c r="AD49" s="23">
        <f>ROUND((ROUND(VLOOKUP($E49,'Tabela de Códigos e Valores'!$A:$AB,26,FALSE)/I49,2)+ROUND(P49/I49,2)+ROUND(M49*'Indicadores Financeiros'!$J$61/I49,2)+ROUND(R49/I49,2))*(1+T49),2)</f>
        <v>64.73</v>
      </c>
      <c r="AE49" s="23">
        <f>IF(G49="posto",IF(OR(E49=690018,E49=690019),'Indicadores Financeiros'!$J$117,IF(OR(E49=690002,E49=690016,E49=690019,E49=690035,E49=690038,E49=690064),'Indicadores Financeiros'!$G$117/2*(1+T49),'Indicadores Financeiros'!$G$117*(1+T49))),0)</f>
        <v>0</v>
      </c>
      <c r="AF49" s="58"/>
      <c r="AG49" s="31"/>
      <c r="AH49" s="273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</row>
    <row r="50" spans="1:346" s="26" customFormat="1" x14ac:dyDescent="0.25">
      <c r="A50" s="21">
        <v>2</v>
      </c>
      <c r="B50" s="21">
        <f>VLOOKUP($A50,'Indicadores Financeiros'!$A$145:$J$306,2,FALSE)</f>
        <v>13</v>
      </c>
      <c r="C50" s="22" t="str">
        <f>VLOOKUP($A50,'Indicadores Financeiros'!$A$145:$J$306,3,FALSE)</f>
        <v>Araraquara I - Fórum Principal</v>
      </c>
      <c r="D50" s="353" t="str">
        <f>VLOOKUP($B50,BIP!A:E,5,FALSE)</f>
        <v>Araraquara</v>
      </c>
      <c r="E50" s="73">
        <v>690020</v>
      </c>
      <c r="F50" s="7" t="str">
        <f>VLOOKUP($E50,'Tabela de Códigos e Valores'!$A:$M,2,FALSE)</f>
        <v>Serviço de Jardinagem</v>
      </c>
      <c r="G50" s="7" t="str">
        <f>VLOOKUP($E50,'Tabela de Códigos e Valores'!$A:$M,5,FALSE)</f>
        <v>M2</v>
      </c>
      <c r="H50" s="7" t="str">
        <f>VLOOKUP($E50,'Tabela de Códigos e Valores'!$A:$M,6,FALSE)</f>
        <v>Mensal</v>
      </c>
      <c r="I50" s="180">
        <f>VLOOKUP($E50,'Tabela de Códigos e Valores'!$A:$M,7,FALSE)</f>
        <v>0</v>
      </c>
      <c r="J50" s="180">
        <f>VLOOKUP($E50,'Tabela de Códigos e Valores'!$A:$M,8,FALSE)</f>
        <v>0</v>
      </c>
      <c r="K50" s="284">
        <v>1</v>
      </c>
      <c r="L50" s="193">
        <f>IFERROR(VLOOKUP(E50,'Indicadores Financeiros'!$A$90:$J$92,10,FALSE),0)</f>
        <v>0.84</v>
      </c>
      <c r="M50" s="180">
        <f>VLOOKUP($E50,'Tabela de Códigos e Valores'!$A:$Z,16,FALSE)</f>
        <v>0</v>
      </c>
      <c r="N50" s="180">
        <f>VLOOKUP($E50,'Tabela de Códigos e Valores'!$A:$Z,17,FALSE)</f>
        <v>0</v>
      </c>
      <c r="O50" s="180">
        <f>VLOOKUP($E50,'Tabela de Códigos e Valores'!$A:$AAB,28,FALSE)</f>
        <v>0</v>
      </c>
      <c r="P50" s="180">
        <f>ROUND(IF($G50&lt;&gt;"M2",IF(VLOOKUP($E50,'Tabela de Códigos e Valores'!$A:$J,10,FALSE)*6%&gt;=VLOOKUP('Relatório Custo'!$A50,'Indicadores Financeiros'!$A$145:$I$208,9,FALSE)*'Relatório Custo'!I50,0,VLOOKUP('Relatório Custo'!$A50,'Indicadores Financeiros'!$A$145:$I$208,9,FALSE)*'Relatório Custo'!I50-VLOOKUP($E50,'Tabela de Códigos e Valores'!$A:$J,10,FALSE)*6%),0),2)</f>
        <v>0</v>
      </c>
      <c r="Q50" s="180">
        <f>VLOOKUP($E50,'Tabela de Códigos e Valores'!$A:$AAC,30,FALSE)</f>
        <v>0</v>
      </c>
      <c r="R50" s="180">
        <f>ROUND(ROUND(($M50+$N50+$O50+$P50+$Q50),2)*VLOOKUP($E50,'Tabela de Códigos e Valores'!$A:$AE,31,FALSE)/(1-VLOOKUP($E50,'Tabela de Códigos e Valores'!$A:$AE,31,FALSE)),2)</f>
        <v>0</v>
      </c>
      <c r="S50" s="24">
        <f t="shared" si="0"/>
        <v>0.84</v>
      </c>
      <c r="T50" s="182">
        <f>VLOOKUP($A50,'Indicadores Financeiros'!$A$145:$J$208,8,FALSE)</f>
        <v>0.29260000000000003</v>
      </c>
      <c r="U50" s="24">
        <f t="shared" si="14"/>
        <v>1.0900000000000001</v>
      </c>
      <c r="V50" s="32">
        <f t="shared" si="15"/>
        <v>1.0900000000000001</v>
      </c>
      <c r="W50" s="240">
        <f>VLOOKUP($A50,'Indicadores Financeiros'!$A$145:$J$208,10)</f>
        <v>1</v>
      </c>
      <c r="X50" s="64">
        <f>U50*IF(H50="Mensal",('Indicadores Financeiros'!$F$14-W50+1),IF(H50="Trimestral",INT(('Indicadores Financeiros'!$F$14-W50+1)/3),INT(('Indicadores Financeiros'!$F$14-W50+1)/12)))*K50</f>
        <v>32.700000000000003</v>
      </c>
      <c r="Y50" s="75"/>
      <c r="Z50" s="64">
        <f t="shared" si="16"/>
        <v>0</v>
      </c>
      <c r="AA50" s="64">
        <f>ROUND('Indicadores Financeiros'!$J$71*$Z50,4)</f>
        <v>0</v>
      </c>
      <c r="AB50" s="25"/>
      <c r="AC50" s="23">
        <f>ROUND(IF(OR($G50="Posto",$G50="Plantão"),$U50/$I50,0),2)</f>
        <v>0</v>
      </c>
      <c r="AD50" s="23">
        <f>IF(G50="m2",0,ROUND((ROUND(VLOOKUP($E50,'Tabela de Códigos e Valores'!$A:$AB,26,FALSE)/I50,2)+ROUND(P50/I50,2)+ROUND(M50*'Indicadores Financeiros'!$J$61/I50,2)+ROUND(R50/I50,2))*(1+T50),2))</f>
        <v>0</v>
      </c>
      <c r="AE50" s="23">
        <f>IF(G50="posto",IF(OR(E50=690018,E50=690019),'Indicadores Financeiros'!$J$117,IF(OR(E50=690002,E50=690016,E50=690019,E50=690035,E50=690038,E50=690064),'Indicadores Financeiros'!$G$117/2*(1+T50),'Indicadores Financeiros'!$G$117*(1+T50))),0)</f>
        <v>0</v>
      </c>
      <c r="AF50" s="58"/>
      <c r="AG50" s="31"/>
      <c r="AH50" s="273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</row>
    <row r="51" spans="1:346" s="26" customFormat="1" ht="24" x14ac:dyDescent="0.25">
      <c r="A51" s="21">
        <v>2</v>
      </c>
      <c r="B51" s="21">
        <f>VLOOKUP($A51,'Indicadores Financeiros'!$A$145:$J$306,2,FALSE)</f>
        <v>13</v>
      </c>
      <c r="C51" s="22" t="str">
        <f>VLOOKUP($A51,'Indicadores Financeiros'!$A$145:$J$306,3,FALSE)</f>
        <v>Araraquara I - Fórum Principal</v>
      </c>
      <c r="D51" s="353" t="str">
        <f>VLOOKUP($B51,BIP!A:E,5,FALSE)</f>
        <v>Araraquara</v>
      </c>
      <c r="E51" s="73">
        <v>690021</v>
      </c>
      <c r="F51" s="7" t="str">
        <f>VLOOKUP($E51,'Tabela de Códigos e Valores'!$A:$M,2,FALSE)</f>
        <v>Serviço de limpeza de vidros com exposição à situação de risco</v>
      </c>
      <c r="G51" s="7" t="str">
        <f>VLOOKUP($E51,'Tabela de Códigos e Valores'!$A:$M,5,FALSE)</f>
        <v>M2</v>
      </c>
      <c r="H51" s="7" t="str">
        <f>VLOOKUP($E51,'Tabela de Códigos e Valores'!$A:$M,6,FALSE)</f>
        <v>Trimestral</v>
      </c>
      <c r="I51" s="180">
        <f>VLOOKUP($E51,'Tabela de Códigos e Valores'!$A:$M,7,FALSE)</f>
        <v>0</v>
      </c>
      <c r="J51" s="180">
        <f>VLOOKUP($E51,'Tabela de Códigos e Valores'!$A:$M,8,FALSE)</f>
        <v>0</v>
      </c>
      <c r="K51" s="284">
        <v>1</v>
      </c>
      <c r="L51" s="193">
        <f>IFERROR(VLOOKUP(E51,'Indicadores Financeiros'!$A$90:$J$92,10,FALSE),0)</f>
        <v>2.2200000000000002</v>
      </c>
      <c r="M51" s="180">
        <f>VLOOKUP($E51,'Tabela de Códigos e Valores'!$A:$Z,16,FALSE)</f>
        <v>0</v>
      </c>
      <c r="N51" s="180">
        <f>VLOOKUP($E51,'Tabela de Códigos e Valores'!$A:$Z,17,FALSE)</f>
        <v>0</v>
      </c>
      <c r="O51" s="180">
        <f>VLOOKUP($E51,'Tabela de Códigos e Valores'!$A:$AAB,28,FALSE)</f>
        <v>0</v>
      </c>
      <c r="P51" s="180">
        <f>ROUND(IF($G51&lt;&gt;"M2",IF(VLOOKUP($E51,'Tabela de Códigos e Valores'!$A:$J,10,FALSE)*6%&gt;=VLOOKUP('Relatório Custo'!$A51,'Indicadores Financeiros'!$A$145:$I$208,9,FALSE)*'Relatório Custo'!I51,0,VLOOKUP('Relatório Custo'!$A51,'Indicadores Financeiros'!$A$145:$I$208,9,FALSE)*'Relatório Custo'!I51-VLOOKUP($E51,'Tabela de Códigos e Valores'!$A:$J,10,FALSE)*6%),0),2)</f>
        <v>0</v>
      </c>
      <c r="Q51" s="180">
        <f>VLOOKUP($E51,'Tabela de Códigos e Valores'!$A:$AAC,30,FALSE)</f>
        <v>0</v>
      </c>
      <c r="R51" s="180">
        <f>ROUND(ROUND(($M51+$N51+$O51+$P51+$Q51),2)*VLOOKUP($E51,'Tabela de Códigos e Valores'!$A:$AE,31,FALSE)/(1-VLOOKUP($E51,'Tabela de Códigos e Valores'!$A:$AE,31,FALSE)),2)</f>
        <v>0</v>
      </c>
      <c r="S51" s="24">
        <f t="shared" si="0"/>
        <v>2.2200000000000002</v>
      </c>
      <c r="T51" s="182">
        <f>VLOOKUP($A51,'Indicadores Financeiros'!$A$145:$J$208,8,FALSE)</f>
        <v>0.29260000000000003</v>
      </c>
      <c r="U51" s="24">
        <f t="shared" si="14"/>
        <v>2.87</v>
      </c>
      <c r="V51" s="32">
        <f t="shared" si="15"/>
        <v>2.87</v>
      </c>
      <c r="W51" s="240">
        <f>VLOOKUP($A51,'Indicadores Financeiros'!$A$145:$J$208,10)</f>
        <v>1</v>
      </c>
      <c r="X51" s="64">
        <f>U51*IF(H51="Mensal",('Indicadores Financeiros'!$F$14-W51+1),IF(H51="Trimestral",INT(('Indicadores Financeiros'!$F$14-W51+1)/3),INT(('Indicadores Financeiros'!$F$14-W51+1)/12)))*K51</f>
        <v>28.700000000000003</v>
      </c>
      <c r="Y51" s="75"/>
      <c r="Z51" s="64">
        <f t="shared" si="16"/>
        <v>0</v>
      </c>
      <c r="AA51" s="64">
        <f>ROUND('Indicadores Financeiros'!$J$71*$Z51,4)</f>
        <v>0</v>
      </c>
      <c r="AB51" s="25"/>
      <c r="AC51" s="23">
        <f t="shared" si="4"/>
        <v>0</v>
      </c>
      <c r="AD51" s="23">
        <f>IF(G51="m2",0,ROUND((ROUND(VLOOKUP($E51,'Tabela de Códigos e Valores'!$A:$AB,26,FALSE)/I51,2)+ROUND(P51/I51,2)+ROUND(M51*'Indicadores Financeiros'!$J$61/I51,2)+ROUND(R51/I51,2))*(1+T51),2))</f>
        <v>0</v>
      </c>
      <c r="AE51" s="23">
        <f>IF(G51="posto",IF(OR(E51=690018,E51=690019),'Indicadores Financeiros'!$J$117,IF(OR(E51=690002,E51=690016,E51=690019,E51=690035,E51=690038,E51=690064),'Indicadores Financeiros'!$G$117/2*(1+T51),'Indicadores Financeiros'!$G$117*(1+T51))),0)</f>
        <v>0</v>
      </c>
      <c r="AF51" s="58"/>
      <c r="AG51" s="31"/>
      <c r="AH51" s="273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</row>
    <row r="52" spans="1:346" s="26" customFormat="1" ht="24" x14ac:dyDescent="0.25">
      <c r="A52" s="21">
        <v>2</v>
      </c>
      <c r="B52" s="21">
        <f>VLOOKUP($A52,'Indicadores Financeiros'!$A$145:$J$306,2,FALSE)</f>
        <v>13</v>
      </c>
      <c r="C52" s="22" t="str">
        <f>VLOOKUP($A52,'Indicadores Financeiros'!$A$145:$J$306,3,FALSE)</f>
        <v>Araraquara I - Fórum Principal</v>
      </c>
      <c r="D52" s="353" t="str">
        <f>VLOOKUP($B52,BIP!A:E,5,FALSE)</f>
        <v>Araraquara</v>
      </c>
      <c r="E52" s="73">
        <v>690022</v>
      </c>
      <c r="F52" s="7" t="str">
        <f>VLOOKUP($E52,'Tabela de Códigos e Valores'!$A:$M,2,FALSE)</f>
        <v>Auxiliar de limpeza área médica - diurno - 44 horas semanais</v>
      </c>
      <c r="G52" s="7" t="str">
        <f>VLOOKUP($E52,'Tabela de Códigos e Valores'!$A:$M,5,FALSE)</f>
        <v>Posto</v>
      </c>
      <c r="H52" s="7" t="str">
        <f>VLOOKUP($E52,'Tabela de Códigos e Valores'!$A:$M,6,FALSE)</f>
        <v>Mensal</v>
      </c>
      <c r="I52" s="180">
        <f>VLOOKUP($E52,'Tabela de Códigos e Valores'!$A:$M,7,FALSE)</f>
        <v>21</v>
      </c>
      <c r="J52" s="180">
        <f>VLOOKUP($E52,'Tabela de Códigos e Valores'!$A:$M,8,FALSE)</f>
        <v>0</v>
      </c>
      <c r="K52" s="284">
        <v>1</v>
      </c>
      <c r="L52" s="193">
        <f>IFERROR(VLOOKUP(E52,'Indicadores Financeiros'!$A$90:$J$92,10,FALSE),0)</f>
        <v>0</v>
      </c>
      <c r="M52" s="180">
        <f>VLOOKUP($E52,'Tabela de Códigos e Valores'!$A:$Z,16,FALSE)</f>
        <v>2020.8000000000002</v>
      </c>
      <c r="N52" s="180">
        <f>VLOOKUP($E52,'Tabela de Códigos e Valores'!$A:$Z,17,FALSE)</f>
        <v>1574.54</v>
      </c>
      <c r="O52" s="180">
        <f>VLOOKUP($E52,'Tabela de Códigos e Valores'!$A:$AAB,28,FALSE)</f>
        <v>635.36</v>
      </c>
      <c r="P52" s="180">
        <f>ROUND(IF($G52&lt;&gt;"M2",IF(VLOOKUP($E52,'Tabela de Códigos e Valores'!$A:$J,10,FALSE)*6%&gt;=VLOOKUP('Relatório Custo'!$A52,'Indicadores Financeiros'!$A$145:$I$208,9,FALSE)*'Relatório Custo'!I52,0,VLOOKUP('Relatório Custo'!$A52,'Indicadores Financeiros'!$A$145:$I$208,9,FALSE)*'Relatório Custo'!I52-VLOOKUP($E52,'Tabela de Códigos e Valores'!$A:$J,10,FALSE)*6%),0),2)</f>
        <v>127.55</v>
      </c>
      <c r="Q52" s="180">
        <f>VLOOKUP($E52,'Tabela de Códigos e Valores'!$A:$AAC,30,FALSE)</f>
        <v>71.48</v>
      </c>
      <c r="R52" s="180">
        <f>ROUND(ROUND(($M52+$N52+$O52+$P52+$Q52),2)*VLOOKUP($E52,'Tabela de Códigos e Valores'!$A:$AE,31,FALSE)/(1-VLOOKUP($E52,'Tabela de Códigos e Valores'!$A:$AE,31,FALSE)),2)</f>
        <v>604.04999999999995</v>
      </c>
      <c r="S52" s="24">
        <f t="shared" si="0"/>
        <v>5033.78</v>
      </c>
      <c r="T52" s="182">
        <f>VLOOKUP($A52,'Indicadores Financeiros'!$A$145:$J$208,8,FALSE)</f>
        <v>0.29260000000000003</v>
      </c>
      <c r="U52" s="24">
        <f t="shared" si="14"/>
        <v>6506.66</v>
      </c>
      <c r="V52" s="32">
        <f t="shared" si="15"/>
        <v>6506.66</v>
      </c>
      <c r="W52" s="240">
        <f>VLOOKUP($A52,'Indicadores Financeiros'!$A$145:$J$208,10)</f>
        <v>1</v>
      </c>
      <c r="X52" s="64">
        <f>U52*IF(H52="Mensal",('Indicadores Financeiros'!$F$14-W52+1),IF(H52="Trimestral",INT(('Indicadores Financeiros'!$F$14-W52+1)/3),INT(('Indicadores Financeiros'!$F$14-W52+1)/12)))*K52</f>
        <v>195199.8</v>
      </c>
      <c r="Y52" s="75"/>
      <c r="Z52" s="64">
        <f t="shared" si="16"/>
        <v>2020.8000000000002</v>
      </c>
      <c r="AA52" s="64">
        <f>ROUND('Indicadores Financeiros'!$J$71*$Z52,4)</f>
        <v>646.45389999999998</v>
      </c>
      <c r="AB52" s="25"/>
      <c r="AC52" s="23">
        <f t="shared" si="4"/>
        <v>309.83999999999997</v>
      </c>
      <c r="AD52" s="23">
        <f>ROUND((ROUND(VLOOKUP($E52,'Tabela de Códigos e Valores'!$A:$AB,26,FALSE)/I52,2)+ROUND(P52/I52,2)+ROUND(M52*'Indicadores Financeiros'!$J$61/I52,2)+ROUND(R52/I52,2))*(1+T52),2)</f>
        <v>89.62</v>
      </c>
      <c r="AE52" s="23">
        <f>IF(G52="posto",IF(OR(E52=690018,E52=690019),'Indicadores Financeiros'!$J$117,IF(OR(E52=690002,E52=690016,E52=690019,E52=690035,E52=690038,E52=690064),'Indicadores Financeiros'!$G$117/2*(1+T52),'Indicadores Financeiros'!$G$117*(1+T52))),0)</f>
        <v>0</v>
      </c>
      <c r="AF52" s="58"/>
      <c r="AG52" s="31"/>
      <c r="AH52" s="273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</row>
    <row r="53" spans="1:346" s="26" customFormat="1" ht="24" x14ac:dyDescent="0.25">
      <c r="A53" s="21">
        <v>2</v>
      </c>
      <c r="B53" s="21">
        <f>VLOOKUP($A53,'Indicadores Financeiros'!$A$145:$J$306,2,FALSE)</f>
        <v>13</v>
      </c>
      <c r="C53" s="22" t="str">
        <f>VLOOKUP($A53,'Indicadores Financeiros'!$A$145:$J$306,3,FALSE)</f>
        <v>Araraquara I - Fórum Principal</v>
      </c>
      <c r="D53" s="353" t="str">
        <f>VLOOKUP($B53,BIP!A:E,5,FALSE)</f>
        <v>Araraquara</v>
      </c>
      <c r="E53" s="73">
        <v>690025</v>
      </c>
      <c r="F53" s="7" t="str">
        <f>VLOOKUP($E53,'Tabela de Códigos e Valores'!$A:$M,2,FALSE)</f>
        <v>Serviço de limpeza - plantonista - sábado (5 horas)</v>
      </c>
      <c r="G53" s="7" t="str">
        <f>VLOOKUP($E53,'Tabela de Códigos e Valores'!$A:$M,5,FALSE)</f>
        <v>Plantão - Sábado</v>
      </c>
      <c r="H53" s="7" t="str">
        <f>VLOOKUP($E53,'Tabela de Códigos e Valores'!$A:$M,6,FALSE)</f>
        <v>Mensal</v>
      </c>
      <c r="I53" s="180">
        <f>VLOOKUP($E53,'Tabela de Códigos e Valores'!$A:$M,7,FALSE)</f>
        <v>5</v>
      </c>
      <c r="J53" s="180">
        <f>VLOOKUP($E53,'Tabela de Códigos e Valores'!$A:$M,8,FALSE)</f>
        <v>25</v>
      </c>
      <c r="K53" s="284">
        <v>1</v>
      </c>
      <c r="L53" s="193">
        <f>IFERROR(VLOOKUP(E53,'Indicadores Financeiros'!$A$90:$J$92,10,FALSE),0)</f>
        <v>0</v>
      </c>
      <c r="M53" s="180">
        <f>VLOOKUP($E53,'Tabela de Códigos e Valores'!$A:$Z,16,FALSE)</f>
        <v>292.75</v>
      </c>
      <c r="N53" s="180">
        <f>VLOOKUP($E53,'Tabela de Códigos e Valores'!$A:$Z,17,FALSE)</f>
        <v>227.99999999999997</v>
      </c>
      <c r="O53" s="180">
        <f>VLOOKUP($E53,'Tabela de Códigos e Valores'!$A:$AAB,28,FALSE)</f>
        <v>96.85</v>
      </c>
      <c r="P53" s="180">
        <f>ROUND(IF($G53&lt;&gt;"M2",IF(VLOOKUP($E53,'Tabela de Códigos e Valores'!$A:$J,10,FALSE)*6%&gt;=VLOOKUP('Relatório Custo'!$A53,'Indicadores Financeiros'!$A$145:$I$208,9,FALSE)*'Relatório Custo'!I53,0,VLOOKUP('Relatório Custo'!$A53,'Indicadores Financeiros'!$A$145:$I$208,9,FALSE)*'Relatório Custo'!I53-VLOOKUP($E53,'Tabela de Códigos e Valores'!$A:$J,10,FALSE)*6%),0),2)</f>
        <v>54.9</v>
      </c>
      <c r="Q53" s="180">
        <f>VLOOKUP($E53,'Tabela de Códigos e Valores'!$A:$AAC,30,FALSE)</f>
        <v>0</v>
      </c>
      <c r="R53" s="180">
        <f>ROUND(ROUND(($M53+$N53+$O53+$P53+$Q53),2)*VLOOKUP($E53,'Tabela de Códigos e Valores'!$A:$AE,31,FALSE)/(1-VLOOKUP($E53,'Tabela de Códigos e Valores'!$A:$AE,31,FALSE)),2)</f>
        <v>0</v>
      </c>
      <c r="S53" s="24">
        <f t="shared" si="0"/>
        <v>672.5</v>
      </c>
      <c r="T53" s="182">
        <f>VLOOKUP($A53,'Indicadores Financeiros'!$A$145:$J$208,8,FALSE)</f>
        <v>0.29260000000000003</v>
      </c>
      <c r="U53" s="24">
        <f t="shared" si="14"/>
        <v>869.27</v>
      </c>
      <c r="V53" s="32">
        <f t="shared" si="15"/>
        <v>869.27</v>
      </c>
      <c r="W53" s="240">
        <f>VLOOKUP($A53,'Indicadores Financeiros'!$A$145:$J$208,10)</f>
        <v>1</v>
      </c>
      <c r="X53" s="64">
        <f>U53*IF(H53="Mensal",('Indicadores Financeiros'!$F$14-W53+1),IF(H53="Trimestral",INT(('Indicadores Financeiros'!$F$14-W53+1)/3),INT(('Indicadores Financeiros'!$F$14-W53+1)/12)))*K53</f>
        <v>26078.1</v>
      </c>
      <c r="Y53" s="75"/>
      <c r="Z53" s="64">
        <f t="shared" si="16"/>
        <v>0</v>
      </c>
      <c r="AA53" s="64">
        <f>ROUND('Indicadores Financeiros'!$J$71*$Z53,4)</f>
        <v>0</v>
      </c>
      <c r="AB53" s="25"/>
      <c r="AC53" s="23">
        <f>ROUND(IF(OR($G53="Posto",$G53="Plantão - Dom/Fer",$G53="Plantão - Sábado",$G53="Plantão - Recesso"),$U53/$I53,0),2)</f>
        <v>173.85</v>
      </c>
      <c r="AD53" s="23">
        <f>ROUND((ROUND(VLOOKUP($E53,'Tabela de Códigos e Valores'!$A:$AB,26,FALSE)/I53,2)+ROUND(P53/I53,2)+ROUND(M53*'Indicadores Financeiros'!$J$61/I53,2)+ROUND(R53/I53,2))*(1+T53),2)</f>
        <v>51.12</v>
      </c>
      <c r="AE53" s="23">
        <f>IF(G53="posto",IF(OR(E53=690018,E53=690019),'Indicadores Financeiros'!$J$117,IF(OR(E53=690002,E53=690016,E53=690019,E53=690035,E53=690038,E53=690064),'Indicadores Financeiros'!$G$117/2*(1+T53),'Indicadores Financeiros'!$G$117*(1+T53))),0)</f>
        <v>0</v>
      </c>
      <c r="AF53" s="58"/>
      <c r="AG53" s="31"/>
      <c r="AH53" s="273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</row>
    <row r="54" spans="1:346" s="26" customFormat="1" x14ac:dyDescent="0.25">
      <c r="A54" s="21">
        <v>2</v>
      </c>
      <c r="B54" s="21">
        <f>VLOOKUP($A54,'Indicadores Financeiros'!$A$145:$J$306,2,FALSE)</f>
        <v>13</v>
      </c>
      <c r="C54" s="22" t="str">
        <f>VLOOKUP($A54,'Indicadores Financeiros'!$A$145:$J$306,3,FALSE)</f>
        <v>Araraquara I - Fórum Principal</v>
      </c>
      <c r="D54" s="353" t="str">
        <f>VLOOKUP($B54,BIP!A:E,5,FALSE)</f>
        <v>Araraquara</v>
      </c>
      <c r="E54" s="73">
        <v>690026</v>
      </c>
      <c r="F54" s="7" t="str">
        <f>VLOOKUP($E54,'Tabela de Códigos e Valores'!$A:$M,2,FALSE)</f>
        <v>Copeiro(a) - diurno - 44 horas semanais</v>
      </c>
      <c r="G54" s="7" t="str">
        <f>VLOOKUP($E54,'Tabela de Códigos e Valores'!$A:$M,5,FALSE)</f>
        <v>Posto</v>
      </c>
      <c r="H54" s="7" t="str">
        <f>VLOOKUP($E54,'Tabela de Códigos e Valores'!$A:$M,6,FALSE)</f>
        <v>Mensal</v>
      </c>
      <c r="I54" s="180">
        <f>VLOOKUP($E54,'Tabela de Códigos e Valores'!$A:$M,7,FALSE)</f>
        <v>21</v>
      </c>
      <c r="J54" s="180">
        <f>VLOOKUP($E54,'Tabela de Códigos e Valores'!$A:$M,8,FALSE)</f>
        <v>0</v>
      </c>
      <c r="K54" s="284">
        <v>1</v>
      </c>
      <c r="L54" s="193">
        <f>IFERROR(VLOOKUP(E54,'Indicadores Financeiros'!$A$90:$J$92,10,FALSE),0)</f>
        <v>0</v>
      </c>
      <c r="M54" s="180">
        <f>VLOOKUP($E54,'Tabela de Códigos e Valores'!$A:$Z,16,FALSE)</f>
        <v>1729.04</v>
      </c>
      <c r="N54" s="180">
        <f>VLOOKUP($E54,'Tabela de Códigos e Valores'!$A:$Z,17,FALSE)</f>
        <v>1347.21</v>
      </c>
      <c r="O54" s="180">
        <f>VLOOKUP($E54,'Tabela de Códigos e Valores'!$A:$AAB,28,FALSE)</f>
        <v>635.36</v>
      </c>
      <c r="P54" s="180">
        <f>ROUND(IF($G54&lt;&gt;"M2",IF(VLOOKUP($E54,'Tabela de Códigos e Valores'!$A:$J,10,FALSE)*6%&gt;=VLOOKUP('Relatório Custo'!$A54,'Indicadores Financeiros'!$A$145:$I$208,9,FALSE)*'Relatório Custo'!I54,0,VLOOKUP('Relatório Custo'!$A54,'Indicadores Financeiros'!$A$145:$I$208,9,FALSE)*'Relatório Custo'!I54-VLOOKUP($E54,'Tabela de Códigos e Valores'!$A:$J,10,FALSE)*6%),0),2)</f>
        <v>126.84</v>
      </c>
      <c r="Q54" s="180">
        <f>VLOOKUP($E54,'Tabela de Códigos e Valores'!$A:$AAC,30,FALSE)</f>
        <v>62.81</v>
      </c>
      <c r="R54" s="180">
        <f>ROUND(ROUND(($M54+$N54+$O54+$P54+$Q54),2)*VLOOKUP($E54,'Tabela de Códigos e Valores'!$A:$AE,31,FALSE)/(1-VLOOKUP($E54,'Tabela de Códigos e Valores'!$A:$AE,31,FALSE)),2)</f>
        <v>0</v>
      </c>
      <c r="S54" s="24">
        <f t="shared" si="0"/>
        <v>3901.26</v>
      </c>
      <c r="T54" s="182">
        <f>VLOOKUP($A54,'Indicadores Financeiros'!$A$145:$J$208,8,FALSE)</f>
        <v>0.29260000000000003</v>
      </c>
      <c r="U54" s="24">
        <f t="shared" si="14"/>
        <v>5042.7700000000004</v>
      </c>
      <c r="V54" s="32">
        <f t="shared" si="15"/>
        <v>5042.7700000000004</v>
      </c>
      <c r="W54" s="240">
        <f>VLOOKUP($A54,'Indicadores Financeiros'!$A$145:$J$208,10)</f>
        <v>1</v>
      </c>
      <c r="X54" s="64">
        <f>U54*IF(H54="Mensal",('Indicadores Financeiros'!$F$14-W54+1),IF(H54="Trimestral",INT(('Indicadores Financeiros'!$F$14-W54+1)/3),INT(('Indicadores Financeiros'!$F$14-W54+1)/12)))*K54</f>
        <v>151283.1</v>
      </c>
      <c r="Y54" s="75"/>
      <c r="Z54" s="64">
        <f t="shared" si="16"/>
        <v>1729.04</v>
      </c>
      <c r="AA54" s="64">
        <f>ROUND('Indicadores Financeiros'!$J$71*$Z54,4)</f>
        <v>553.11990000000003</v>
      </c>
      <c r="AB54" s="25"/>
      <c r="AC54" s="23">
        <f t="shared" si="4"/>
        <v>240.13</v>
      </c>
      <c r="AD54" s="23">
        <f>ROUND((ROUND(VLOOKUP($E54,'Tabela de Códigos e Valores'!$A:$AB,26,FALSE)/I54,2)+ROUND(P54/I54,2)+ROUND(M54*'Indicadores Financeiros'!$J$61/I54,2)+ROUND(R54/I54,2))*(1+T54),2)</f>
        <v>49.57</v>
      </c>
      <c r="AE54" s="23">
        <f>IF(G54="posto",IF(OR(E54=690018,E54=690019),'Indicadores Financeiros'!$J$117,IF(OR(E54=690002,E54=690016,E54=690019,E54=690035,E54=690038,E54=690064),'Indicadores Financeiros'!$G$117/2*(1+T54),'Indicadores Financeiros'!$G$117*(1+T54))),0)</f>
        <v>0</v>
      </c>
      <c r="AF54" s="58"/>
      <c r="AG54" s="31"/>
      <c r="AH54" s="273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</row>
    <row r="55" spans="1:346" s="26" customFormat="1" ht="24" x14ac:dyDescent="0.25">
      <c r="A55" s="21">
        <v>2</v>
      </c>
      <c r="B55" s="21">
        <f>VLOOKUP($A55,'Indicadores Financeiros'!$A$145:$J$306,2,FALSE)</f>
        <v>13</v>
      </c>
      <c r="C55" s="22" t="str">
        <f>VLOOKUP($A55,'Indicadores Financeiros'!$A$145:$J$306,3,FALSE)</f>
        <v>Araraquara I - Fórum Principal</v>
      </c>
      <c r="D55" s="353" t="str">
        <f>VLOOKUP($B55,BIP!A:E,5,FALSE)</f>
        <v>Araraquara</v>
      </c>
      <c r="E55" s="73">
        <v>690028</v>
      </c>
      <c r="F55" s="7" t="str">
        <f>VLOOKUP($E55,'Tabela de Códigos e Valores'!$A:$M,2,FALSE)</f>
        <v>Supervisor(a) de limpeza - diurno - 44 horas semanais</v>
      </c>
      <c r="G55" s="7" t="str">
        <f>VLOOKUP($E55,'Tabela de Códigos e Valores'!$A:$M,5,FALSE)</f>
        <v>Posto</v>
      </c>
      <c r="H55" s="7" t="str">
        <f>VLOOKUP($E55,'Tabela de Códigos e Valores'!$A:$M,6,FALSE)</f>
        <v>Mensal</v>
      </c>
      <c r="I55" s="180">
        <f>VLOOKUP($E55,'Tabela de Códigos e Valores'!$A:$M,7,FALSE)</f>
        <v>21</v>
      </c>
      <c r="J55" s="180">
        <f>VLOOKUP($E55,'Tabela de Códigos e Valores'!$A:$M,8,FALSE)</f>
        <v>0</v>
      </c>
      <c r="K55" s="284">
        <v>1</v>
      </c>
      <c r="L55" s="193">
        <f>IFERROR(VLOOKUP(E55,'Indicadores Financeiros'!$A$90:$J$92,10,FALSE),0)</f>
        <v>0</v>
      </c>
      <c r="M55" s="180">
        <f>VLOOKUP($E55,'Tabela de Códigos e Valores'!$A:$Z,16,FALSE)</f>
        <v>2444.29</v>
      </c>
      <c r="N55" s="180">
        <f>VLOOKUP($E55,'Tabela de Códigos e Valores'!$A:$Z,17,FALSE)</f>
        <v>1904.51</v>
      </c>
      <c r="O55" s="180">
        <f>VLOOKUP($E55,'Tabela de Códigos e Valores'!$A:$AAB,28,FALSE)</f>
        <v>635.36</v>
      </c>
      <c r="P55" s="180">
        <f>ROUND(IF($G55&lt;&gt;"M2",IF(VLOOKUP($E55,'Tabela de Códigos e Valores'!$A:$J,10,FALSE)*6%&gt;=VLOOKUP('Relatório Custo'!$A55,'Indicadores Financeiros'!$A$145:$I$208,9,FALSE)*'Relatório Custo'!I55,0,VLOOKUP('Relatório Custo'!$A55,'Indicadores Financeiros'!$A$145:$I$208,9,FALSE)*'Relatório Custo'!I55-VLOOKUP($E55,'Tabela de Códigos e Valores'!$A:$J,10,FALSE)*6%),0),2)</f>
        <v>83.92</v>
      </c>
      <c r="Q55" s="180">
        <f>VLOOKUP($E55,'Tabela de Códigos e Valores'!$A:$AAC,30,FALSE)</f>
        <v>73.040000000000006</v>
      </c>
      <c r="R55" s="180">
        <f>ROUND(ROUND(($M55+$N55+$O55+$P55+$Q55),2)*VLOOKUP($E55,'Tabela de Códigos e Valores'!$A:$AE,31,FALSE)/(1-VLOOKUP($E55,'Tabela de Códigos e Valores'!$A:$AE,31,FALSE)),2)</f>
        <v>0</v>
      </c>
      <c r="S55" s="24">
        <f t="shared" si="0"/>
        <v>5141.12</v>
      </c>
      <c r="T55" s="182">
        <f>VLOOKUP($A55,'Indicadores Financeiros'!$A$145:$J$208,8,FALSE)</f>
        <v>0.29260000000000003</v>
      </c>
      <c r="U55" s="24">
        <f t="shared" si="14"/>
        <v>6645.41</v>
      </c>
      <c r="V55" s="32">
        <f t="shared" si="15"/>
        <v>6645.41</v>
      </c>
      <c r="W55" s="240">
        <f>VLOOKUP($A55,'Indicadores Financeiros'!$A$145:$J$208,10)</f>
        <v>1</v>
      </c>
      <c r="X55" s="64">
        <f>U55*IF(H55="Mensal",('Indicadores Financeiros'!$F$14-W55+1),IF(H55="Trimestral",INT(('Indicadores Financeiros'!$F$14-W55+1)/3),INT(('Indicadores Financeiros'!$F$14-W55+1)/12)))*K55</f>
        <v>199362.3</v>
      </c>
      <c r="Y55" s="75"/>
      <c r="Z55" s="64">
        <f t="shared" si="16"/>
        <v>2444.29</v>
      </c>
      <c r="AA55" s="64">
        <f>ROUND('Indicadores Financeiros'!$J$71*$Z55,4)</f>
        <v>781.92840000000001</v>
      </c>
      <c r="AB55" s="25"/>
      <c r="AC55" s="23">
        <f t="shared" si="4"/>
        <v>316.45</v>
      </c>
      <c r="AD55" s="23">
        <f>ROUND((ROUND(VLOOKUP($E55,'Tabela de Códigos e Valores'!$A:$AB,26,FALSE)/I55,2)+ROUND(P55/I55,2)+ROUND(M55*'Indicadores Financeiros'!$J$61/I55,2)+ROUND(R55/I55,2))*(1+T55),2)</f>
        <v>53.86</v>
      </c>
      <c r="AE55" s="23">
        <f>IF(G55="posto",IF(OR(E55=690018,E55=690019),'Indicadores Financeiros'!$J$117,IF(OR(E55=690002,E55=690016,E55=690019,E55=690035,E55=690038,E55=690064),'Indicadores Financeiros'!$G$117/2*(1+T55),'Indicadores Financeiros'!$G$117*(1+T55))),0)</f>
        <v>0</v>
      </c>
      <c r="AF55" s="58"/>
      <c r="AG55" s="31"/>
      <c r="AH55" s="273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</row>
    <row r="56" spans="1:346" s="26" customFormat="1" ht="24" x14ac:dyDescent="0.25">
      <c r="A56" s="21">
        <v>2</v>
      </c>
      <c r="B56" s="21">
        <f>VLOOKUP($A56,'Indicadores Financeiros'!$A$145:$J$306,2,FALSE)</f>
        <v>13</v>
      </c>
      <c r="C56" s="22" t="str">
        <f>VLOOKUP($A56,'Indicadores Financeiros'!$A$145:$J$306,3,FALSE)</f>
        <v>Araraquara I - Fórum Principal</v>
      </c>
      <c r="D56" s="353" t="str">
        <f>VLOOKUP($B56,BIP!A:E,5,FALSE)</f>
        <v>Araraquara</v>
      </c>
      <c r="E56" s="73">
        <v>690029</v>
      </c>
      <c r="F56" s="7" t="str">
        <f>VLOOKUP($E56,'Tabela de Códigos e Valores'!$A:$M,2,FALSE)</f>
        <v>Serviço de limpeza de vidros sem exposição à situação de risco</v>
      </c>
      <c r="G56" s="7" t="str">
        <f>VLOOKUP($E56,'Tabela de Códigos e Valores'!$A:$M,5,FALSE)</f>
        <v>M2</v>
      </c>
      <c r="H56" s="7" t="str">
        <f>VLOOKUP($E56,'Tabela de Códigos e Valores'!$A:$M,6,FALSE)</f>
        <v>Trimestral</v>
      </c>
      <c r="I56" s="180">
        <f>VLOOKUP($E56,'Tabela de Códigos e Valores'!$A:$M,7,FALSE)</f>
        <v>0</v>
      </c>
      <c r="J56" s="180">
        <f>VLOOKUP($E56,'Tabela de Códigos e Valores'!$A:$M,8,FALSE)</f>
        <v>0</v>
      </c>
      <c r="K56" s="284">
        <v>1</v>
      </c>
      <c r="L56" s="193">
        <f>IFERROR(VLOOKUP(E56,'Indicadores Financeiros'!$A$90:$J$92,10,FALSE),0)</f>
        <v>1.74</v>
      </c>
      <c r="M56" s="180">
        <f>VLOOKUP($E56,'Tabela de Códigos e Valores'!$A:$Z,16,FALSE)</f>
        <v>0</v>
      </c>
      <c r="N56" s="180">
        <f>VLOOKUP($E56,'Tabela de Códigos e Valores'!$A:$Z,17,FALSE)</f>
        <v>0</v>
      </c>
      <c r="O56" s="180">
        <f>VLOOKUP($E56,'Tabela de Códigos e Valores'!$A:$AAB,28,FALSE)</f>
        <v>0</v>
      </c>
      <c r="P56" s="180">
        <f>ROUND(IF($G56&lt;&gt;"M2",IF(VLOOKUP($E56,'Tabela de Códigos e Valores'!$A:$J,10,FALSE)*6%&gt;=VLOOKUP('Relatório Custo'!$A56,'Indicadores Financeiros'!$A$145:$I$208,9,FALSE)*'Relatório Custo'!I56,0,VLOOKUP('Relatório Custo'!$A56,'Indicadores Financeiros'!$A$145:$I$208,9,FALSE)*'Relatório Custo'!I56-VLOOKUP($E56,'Tabela de Códigos e Valores'!$A:$J,10,FALSE)*6%),0),2)</f>
        <v>0</v>
      </c>
      <c r="Q56" s="180">
        <f>VLOOKUP($E56,'Tabela de Códigos e Valores'!$A:$AAC,30,FALSE)</f>
        <v>0</v>
      </c>
      <c r="R56" s="180">
        <f>ROUND(ROUND(($M56+$N56+$O56+$P56+$Q56),2)*VLOOKUP($E56,'Tabela de Códigos e Valores'!$A:$AE,31,FALSE)/(1-VLOOKUP($E56,'Tabela de Códigos e Valores'!$A:$AE,31,FALSE)),2)</f>
        <v>0</v>
      </c>
      <c r="S56" s="24">
        <f t="shared" si="0"/>
        <v>1.74</v>
      </c>
      <c r="T56" s="182">
        <f>VLOOKUP($A56,'Indicadores Financeiros'!$A$145:$J$208,8,FALSE)</f>
        <v>0.29260000000000003</v>
      </c>
      <c r="U56" s="24">
        <f t="shared" si="14"/>
        <v>2.25</v>
      </c>
      <c r="V56" s="32">
        <f t="shared" si="15"/>
        <v>2.25</v>
      </c>
      <c r="W56" s="240">
        <f>VLOOKUP($A56,'Indicadores Financeiros'!$A$145:$J$208,10)</f>
        <v>1</v>
      </c>
      <c r="X56" s="64">
        <f>U56*IF(H56="Mensal",('Indicadores Financeiros'!$F$14-W56+1),IF(H56="Trimestral",INT(('Indicadores Financeiros'!$F$14-W56+1)/3),INT(('Indicadores Financeiros'!$F$14-W56+1)/12)))*K56</f>
        <v>22.5</v>
      </c>
      <c r="Y56" s="75"/>
      <c r="Z56" s="64">
        <f t="shared" si="16"/>
        <v>0</v>
      </c>
      <c r="AA56" s="64">
        <f>ROUND('Indicadores Financeiros'!$J$71*$Z56,4)</f>
        <v>0</v>
      </c>
      <c r="AB56" s="25"/>
      <c r="AC56" s="23">
        <f t="shared" si="4"/>
        <v>0</v>
      </c>
      <c r="AD56" s="23">
        <f>IF(G56="m2",0,ROUND((ROUND(VLOOKUP($E56,'Tabela de Códigos e Valores'!$A:$AB,26,FALSE)/I56,2)+ROUND(P56/I56,2)+ROUND(M56*'Indicadores Financeiros'!$J$61/I56,2)+ROUND(R56/I56,2))*(1+T56),2))</f>
        <v>0</v>
      </c>
      <c r="AE56" s="23">
        <f>IF(G56="posto",IF(OR(E56=690018,E56=690019),'Indicadores Financeiros'!$J$117,IF(OR(E56=690002,E56=690016,E56=690019,E56=690035,E56=690038,E56=690064),'Indicadores Financeiros'!$G$117/2*(1+T56),'Indicadores Financeiros'!$G$117*(1+T56))),0)</f>
        <v>0</v>
      </c>
      <c r="AF56" s="58"/>
      <c r="AG56" s="31"/>
      <c r="AH56" s="273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</row>
    <row r="57" spans="1:346" s="26" customFormat="1" ht="24" x14ac:dyDescent="0.25">
      <c r="A57" s="21">
        <v>2</v>
      </c>
      <c r="B57" s="21">
        <f>VLOOKUP($A57,'Indicadores Financeiros'!$A$145:$J$306,2,FALSE)</f>
        <v>13</v>
      </c>
      <c r="C57" s="22" t="str">
        <f>VLOOKUP($A57,'Indicadores Financeiros'!$A$145:$J$306,3,FALSE)</f>
        <v>Araraquara I - Fórum Principal</v>
      </c>
      <c r="D57" s="353" t="str">
        <f>VLOOKUP($B57,BIP!A:E,5,FALSE)</f>
        <v>Araraquara</v>
      </c>
      <c r="E57" s="73">
        <v>690030</v>
      </c>
      <c r="F57" s="7" t="str">
        <f>VLOOKUP($E57,'Tabela de Códigos e Valores'!$A:$M,2,FALSE)</f>
        <v>Serviço de encarregado - plantonista - sábado</v>
      </c>
      <c r="G57" s="7" t="str">
        <f>VLOOKUP($E57,'Tabela de Códigos e Valores'!$A:$M,5,FALSE)</f>
        <v>Plantão - Sábado</v>
      </c>
      <c r="H57" s="7" t="str">
        <f>VLOOKUP($E57,'Tabela de Códigos e Valores'!$A:$M,6,FALSE)</f>
        <v>Mensal</v>
      </c>
      <c r="I57" s="180">
        <f>VLOOKUP($E57,'Tabela de Códigos e Valores'!$A:$M,7,FALSE)</f>
        <v>5</v>
      </c>
      <c r="J57" s="180">
        <f>VLOOKUP($E57,'Tabela de Códigos e Valores'!$A:$M,8,FALSE)</f>
        <v>25</v>
      </c>
      <c r="K57" s="284">
        <v>1</v>
      </c>
      <c r="L57" s="193">
        <f>IFERROR(VLOOKUP(E57,'Indicadores Financeiros'!$A$90:$J$92,10,FALSE),0)</f>
        <v>0</v>
      </c>
      <c r="M57" s="180">
        <f>VLOOKUP($E57,'Tabela de Códigos e Valores'!$A:$Z,16,FALSE)</f>
        <v>383</v>
      </c>
      <c r="N57" s="180">
        <f>VLOOKUP($E57,'Tabela de Códigos e Valores'!$A:$Z,17,FALSE)</f>
        <v>298.5</v>
      </c>
      <c r="O57" s="180">
        <f>VLOOKUP($E57,'Tabela de Códigos e Valores'!$A:$AAB,28,FALSE)</f>
        <v>96.85</v>
      </c>
      <c r="P57" s="180">
        <f>ROUND(IF($G57&lt;&gt;"M2",IF(VLOOKUP($E57,'Tabela de Códigos e Valores'!$A:$J,10,FALSE)*6%&gt;=VLOOKUP('Relatório Custo'!$A57,'Indicadores Financeiros'!$A$145:$I$208,9,FALSE)*'Relatório Custo'!I57,0,VLOOKUP('Relatório Custo'!$A57,'Indicadores Financeiros'!$A$145:$I$208,9,FALSE)*'Relatório Custo'!I57-VLOOKUP($E57,'Tabela de Códigos e Valores'!$A:$J,10,FALSE)*6%),0),2)</f>
        <v>54.9</v>
      </c>
      <c r="Q57" s="180">
        <f>VLOOKUP($E57,'Tabela de Códigos e Valores'!$A:$AAC,30,FALSE)</f>
        <v>0</v>
      </c>
      <c r="R57" s="180">
        <f>ROUND(ROUND(($M57+$N57+$O57+$P57+$Q57),2)*VLOOKUP($E57,'Tabela de Códigos e Valores'!$A:$AE,31,FALSE)/(1-VLOOKUP($E57,'Tabela de Códigos e Valores'!$A:$AE,31,FALSE)),2)</f>
        <v>0</v>
      </c>
      <c r="S57" s="24">
        <f t="shared" si="0"/>
        <v>833.25</v>
      </c>
      <c r="T57" s="182">
        <f>VLOOKUP($A57,'Indicadores Financeiros'!$A$145:$J$208,8,FALSE)</f>
        <v>0.29260000000000003</v>
      </c>
      <c r="U57" s="24">
        <f t="shared" si="14"/>
        <v>1077.06</v>
      </c>
      <c r="V57" s="32">
        <f t="shared" si="15"/>
        <v>1077.06</v>
      </c>
      <c r="W57" s="240">
        <f>VLOOKUP($A57,'Indicadores Financeiros'!$A$145:$J$208,10)</f>
        <v>1</v>
      </c>
      <c r="X57" s="64">
        <f>U57*IF(H57="Mensal",('Indicadores Financeiros'!$F$14-W57+1),IF(H57="Trimestral",INT(('Indicadores Financeiros'!$F$14-W57+1)/3),INT(('Indicadores Financeiros'!$F$14-W57+1)/12)))*K57</f>
        <v>32311.8</v>
      </c>
      <c r="Y57" s="75"/>
      <c r="Z57" s="64">
        <f t="shared" si="16"/>
        <v>0</v>
      </c>
      <c r="AA57" s="64">
        <f>ROUND('Indicadores Financeiros'!$J$71*$Z57,4)</f>
        <v>0</v>
      </c>
      <c r="AB57" s="25"/>
      <c r="AC57" s="23">
        <f t="shared" ref="AC57:AC58" si="17">ROUND(IF(OR($G57="Posto",$G57="Plantão - Dom/Fer",$G57="Plantão - Sábado",$G57="Plantão - Recesso"),$U57/$I57,0),2)</f>
        <v>215.41</v>
      </c>
      <c r="AD57" s="23">
        <f>ROUND((ROUND(VLOOKUP($E57,'Tabela de Códigos e Valores'!$A:$AB,26,FALSE)/I57,2)+ROUND(P57/I57,2)+ROUND(M57*'Indicadores Financeiros'!$J$61/I57,2)+ROUND(R57/I57,2))*(1+T57),2)</f>
        <v>54.79</v>
      </c>
      <c r="AE57" s="23">
        <f>IF(G57="posto",IF(OR(E57=690018,E57=690019),'Indicadores Financeiros'!$J$117,IF(OR(E57=690002,E57=690016,E57=690019,E57=690035,E57=690038,E57=690064),'Indicadores Financeiros'!$G$117/2*(1+T57),'Indicadores Financeiros'!$G$117*(1+T57))),0)</f>
        <v>0</v>
      </c>
      <c r="AF57" s="58"/>
      <c r="AG57" s="31"/>
      <c r="AH57" s="273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</row>
    <row r="58" spans="1:346" s="26" customFormat="1" ht="24" x14ac:dyDescent="0.25">
      <c r="A58" s="21">
        <v>2</v>
      </c>
      <c r="B58" s="21">
        <f>VLOOKUP($A58,'Indicadores Financeiros'!$A$145:$J$306,2,FALSE)</f>
        <v>13</v>
      </c>
      <c r="C58" s="22" t="str">
        <f>VLOOKUP($A58,'Indicadores Financeiros'!$A$145:$J$306,3,FALSE)</f>
        <v>Araraquara I - Fórum Principal</v>
      </c>
      <c r="D58" s="353" t="str">
        <f>VLOOKUP($B58,BIP!A:E,5,FALSE)</f>
        <v>Araraquara</v>
      </c>
      <c r="E58" s="73">
        <v>690031</v>
      </c>
      <c r="F58" s="7" t="str">
        <f>VLOOKUP($E58,'Tabela de Códigos e Valores'!$A:$M,2,FALSE)</f>
        <v>Serviço de encarregado - plantonista - domingos e feriados</v>
      </c>
      <c r="G58" s="7" t="str">
        <f>VLOOKUP($E58,'Tabela de Códigos e Valores'!$A:$M,5,FALSE)</f>
        <v>Plantão - Dom/Fer</v>
      </c>
      <c r="H58" s="7" t="str">
        <f>VLOOKUP($E58,'Tabela de Códigos e Valores'!$A:$M,6,FALSE)</f>
        <v>Mensal</v>
      </c>
      <c r="I58" s="180">
        <f>VLOOKUP($E58,'Tabela de Códigos e Valores'!$A:$M,7,FALSE)</f>
        <v>6</v>
      </c>
      <c r="J58" s="180">
        <f>VLOOKUP($E58,'Tabela de Códigos e Valores'!$A:$M,8,FALSE)</f>
        <v>30</v>
      </c>
      <c r="K58" s="284">
        <v>1</v>
      </c>
      <c r="L58" s="193">
        <f>IFERROR(VLOOKUP(E58,'Indicadores Financeiros'!$A$90:$J$92,10,FALSE),0)</f>
        <v>0</v>
      </c>
      <c r="M58" s="180">
        <f>VLOOKUP($E58,'Tabela de Códigos e Valores'!$A:$Z,16,FALSE)</f>
        <v>612.9</v>
      </c>
      <c r="N58" s="180">
        <f>VLOOKUP($E58,'Tabela de Códigos e Valores'!$A:$Z,17,FALSE)</f>
        <v>477.6</v>
      </c>
      <c r="O58" s="180">
        <f>VLOOKUP($E58,'Tabela de Códigos e Valores'!$A:$AAB,28,FALSE)</f>
        <v>116.22</v>
      </c>
      <c r="P58" s="180">
        <f>ROUND(IF($G58&lt;&gt;"M2",IF(VLOOKUP($E58,'Tabela de Códigos e Valores'!$A:$J,10,FALSE)*6%&gt;=VLOOKUP('Relatório Custo'!$A58,'Indicadores Financeiros'!$A$145:$I$208,9,FALSE)*'Relatório Custo'!I58,0,VLOOKUP('Relatório Custo'!$A58,'Indicadores Financeiros'!$A$145:$I$208,9,FALSE)*'Relatório Custo'!I58-VLOOKUP($E58,'Tabela de Códigos e Valores'!$A:$J,10,FALSE)*6%),0),2)</f>
        <v>65.88</v>
      </c>
      <c r="Q58" s="180">
        <f>VLOOKUP($E58,'Tabela de Códigos e Valores'!$A:$AAC,30,FALSE)</f>
        <v>0</v>
      </c>
      <c r="R58" s="180">
        <f>ROUND(ROUND(($M58+$N58+$O58+$P58+$Q58),2)*VLOOKUP($E58,'Tabela de Códigos e Valores'!$A:$AE,31,FALSE)/(1-VLOOKUP($E58,'Tabela de Códigos e Valores'!$A:$AE,31,FALSE)),2)</f>
        <v>0</v>
      </c>
      <c r="S58" s="24">
        <f t="shared" si="0"/>
        <v>1272.5999999999999</v>
      </c>
      <c r="T58" s="182">
        <f>VLOOKUP($A58,'Indicadores Financeiros'!$A$145:$J$208,8,FALSE)</f>
        <v>0.29260000000000003</v>
      </c>
      <c r="U58" s="24">
        <f t="shared" si="14"/>
        <v>1644.96</v>
      </c>
      <c r="V58" s="32">
        <f t="shared" si="15"/>
        <v>1644.96</v>
      </c>
      <c r="W58" s="240">
        <f>VLOOKUP($A58,'Indicadores Financeiros'!$A$145:$J$208,10)</f>
        <v>1</v>
      </c>
      <c r="X58" s="64">
        <f>U58*IF(H58="Mensal",('Indicadores Financeiros'!$F$14-W58+1),IF(H58="Trimestral",INT(('Indicadores Financeiros'!$F$14-W58+1)/3),INT(('Indicadores Financeiros'!$F$14-W58+1)/12)))*K58</f>
        <v>49348.800000000003</v>
      </c>
      <c r="Y58" s="75"/>
      <c r="Z58" s="64">
        <f t="shared" si="16"/>
        <v>0</v>
      </c>
      <c r="AA58" s="64">
        <f>ROUND('Indicadores Financeiros'!$J$71*$Z58,4)</f>
        <v>0</v>
      </c>
      <c r="AB58" s="25"/>
      <c r="AC58" s="23">
        <f t="shared" si="17"/>
        <v>274.16000000000003</v>
      </c>
      <c r="AD58" s="23">
        <f>ROUND((ROUND(VLOOKUP($E58,'Tabela de Códigos e Valores'!$A:$AB,26,FALSE)/I58,2)+ROUND(P58/I58,2)+ROUND(M58*'Indicadores Financeiros'!$J$61/I58,2)+ROUND(R58/I58,2))*(1+T58),2)</f>
        <v>59.99</v>
      </c>
      <c r="AE58" s="23">
        <f>IF(G58="posto",IF(OR(E58=690018,E58=690019),'Indicadores Financeiros'!$J$117,IF(OR(E58=690002,E58=690016,E58=690019,E58=690035,E58=690038,E58=690064),'Indicadores Financeiros'!$G$117/2*(1+T58),'Indicadores Financeiros'!$G$117*(1+T58))),0)</f>
        <v>0</v>
      </c>
      <c r="AF58" s="58"/>
      <c r="AG58" s="31"/>
      <c r="AH58" s="273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</row>
    <row r="59" spans="1:346" s="26" customFormat="1" ht="24" x14ac:dyDescent="0.25">
      <c r="A59" s="21">
        <v>2</v>
      </c>
      <c r="B59" s="21">
        <f>VLOOKUP($A59,'Indicadores Financeiros'!$A$145:$J$306,2,FALSE)</f>
        <v>13</v>
      </c>
      <c r="C59" s="22" t="str">
        <f>VLOOKUP($A59,'Indicadores Financeiros'!$A$145:$J$306,3,FALSE)</f>
        <v>Araraquara I - Fórum Principal</v>
      </c>
      <c r="D59" s="353" t="str">
        <f>VLOOKUP($B59,BIP!A:E,5,FALSE)</f>
        <v>Araraquara</v>
      </c>
      <c r="E59" s="73">
        <v>690032</v>
      </c>
      <c r="F59" s="7" t="str">
        <f>VLOOKUP($E59,'Tabela de Códigos e Valores'!$A:$M,2,FALSE)</f>
        <v>Auxiliar de limpeza - diurno - 44 horas semanais (segunda a sábado)</v>
      </c>
      <c r="G59" s="7" t="str">
        <f>VLOOKUP($E59,'Tabela de Códigos e Valores'!$A:$M,5,FALSE)</f>
        <v>Posto</v>
      </c>
      <c r="H59" s="7" t="str">
        <f>VLOOKUP($E59,'Tabela de Códigos e Valores'!$A:$M,6,FALSE)</f>
        <v>Mensal</v>
      </c>
      <c r="I59" s="180">
        <f>VLOOKUP($E59,'Tabela de Códigos e Valores'!$A:$M,7,FALSE)</f>
        <v>25.33</v>
      </c>
      <c r="J59" s="180">
        <f>VLOOKUP($E59,'Tabela de Códigos e Valores'!$A:$M,8,FALSE)</f>
        <v>0</v>
      </c>
      <c r="K59" s="284">
        <v>1</v>
      </c>
      <c r="L59" s="193">
        <f>IFERROR(VLOOKUP(E59,'Indicadores Financeiros'!$A$90:$J$92,10,FALSE),0)</f>
        <v>0</v>
      </c>
      <c r="M59" s="180">
        <f>VLOOKUP($E59,'Tabela de Códigos e Valores'!$A:$Z,16,FALSE)</f>
        <v>1717.2</v>
      </c>
      <c r="N59" s="180">
        <f>VLOOKUP($E59,'Tabela de Códigos e Valores'!$A:$Z,17,FALSE)</f>
        <v>1337.98</v>
      </c>
      <c r="O59" s="180">
        <f>VLOOKUP($E59,'Tabela de Códigos e Valores'!$A:$AAB,28,FALSE)</f>
        <v>719.23</v>
      </c>
      <c r="P59" s="180">
        <f>ROUND(IF($G59&lt;&gt;"M2",IF(VLOOKUP($E59,'Tabela de Códigos e Valores'!$A:$J,10,FALSE)*6%&gt;=VLOOKUP('Relatório Custo'!$A59,'Indicadores Financeiros'!$A$145:$I$208,9,FALSE)*'Relatório Custo'!I59,0,VLOOKUP('Relatório Custo'!$A59,'Indicadores Financeiros'!$A$145:$I$208,9,FALSE)*'Relatório Custo'!I59-VLOOKUP($E59,'Tabela de Códigos e Valores'!$A:$J,10,FALSE)*6%),0),2)</f>
        <v>175.09</v>
      </c>
      <c r="Q59" s="180">
        <f>VLOOKUP($E59,'Tabela de Códigos e Valores'!$A:$AAC,30,FALSE)</f>
        <v>62.81</v>
      </c>
      <c r="R59" s="180">
        <f>ROUND(ROUND(($M59+$N59+$O59+$P59+$Q59),2)*VLOOKUP($E59,'Tabela de Códigos e Valores'!$A:$AE,31,FALSE)/(1-VLOOKUP($E59,'Tabela de Códigos e Valores'!$A:$AE,31,FALSE)),2)</f>
        <v>547.13</v>
      </c>
      <c r="S59" s="24">
        <f t="shared" si="0"/>
        <v>4559.4400000000005</v>
      </c>
      <c r="T59" s="182">
        <f>VLOOKUP($A59,'Indicadores Financeiros'!$A$145:$J$208,8,FALSE)</f>
        <v>0.29260000000000003</v>
      </c>
      <c r="U59" s="24">
        <f t="shared" si="14"/>
        <v>5893.53</v>
      </c>
      <c r="V59" s="32">
        <f t="shared" si="15"/>
        <v>5893.53</v>
      </c>
      <c r="W59" s="240">
        <f>VLOOKUP($A59,'Indicadores Financeiros'!$A$145:$J$208,10)</f>
        <v>1</v>
      </c>
      <c r="X59" s="64">
        <f>U59*IF(H59="Mensal",('Indicadores Financeiros'!$F$14-W59+1),IF(H59="Trimestral",INT(('Indicadores Financeiros'!$F$14-W59+1)/3),INT(('Indicadores Financeiros'!$F$14-W59+1)/12)))*K59</f>
        <v>176805.9</v>
      </c>
      <c r="Y59" s="75"/>
      <c r="Z59" s="64">
        <f t="shared" si="16"/>
        <v>1717.2</v>
      </c>
      <c r="AA59" s="64">
        <f>ROUND('Indicadores Financeiros'!$J$71*$Z59,4)</f>
        <v>549.33230000000003</v>
      </c>
      <c r="AB59" s="25"/>
      <c r="AC59" s="23">
        <f t="shared" si="4"/>
        <v>232.67</v>
      </c>
      <c r="AD59" s="23">
        <f>ROUND((ROUND(VLOOKUP($E59,'Tabela de Códigos e Valores'!$A:$AB,26,FALSE)/I59,2)+ROUND(P59/I59,2)+ROUND(M59*'Indicadores Financeiros'!$J$61/I59,2)+ROUND(R59/I59,2))*(1+T59),2)</f>
        <v>75.67</v>
      </c>
      <c r="AE59" s="23">
        <f>IF(G59="posto",IF(OR(E59=690018,E59=690019),'Indicadores Financeiros'!$J$117,IF(OR(E59=690002,E59=690016,E59=690019,E59=690035,E59=690038,E59=690064),'Indicadores Financeiros'!$G$117/2*(1+T59),'Indicadores Financeiros'!$G$117*(1+T59))),0)</f>
        <v>0</v>
      </c>
      <c r="AF59" s="58"/>
      <c r="AG59" s="31"/>
      <c r="AH59" s="273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</row>
    <row r="60" spans="1:346" s="26" customFormat="1" ht="24" x14ac:dyDescent="0.25">
      <c r="A60" s="21">
        <v>2</v>
      </c>
      <c r="B60" s="21">
        <f>VLOOKUP($A60,'Indicadores Financeiros'!$A$145:$J$306,2,FALSE)</f>
        <v>13</v>
      </c>
      <c r="C60" s="22" t="str">
        <f>VLOOKUP($A60,'Indicadores Financeiros'!$A$145:$J$306,3,FALSE)</f>
        <v>Araraquara I - Fórum Principal</v>
      </c>
      <c r="D60" s="353" t="str">
        <f>VLOOKUP($B60,BIP!A:E,5,FALSE)</f>
        <v>Araraquara</v>
      </c>
      <c r="E60" s="73">
        <v>690033</v>
      </c>
      <c r="F60" s="7" t="str">
        <f>VLOOKUP($E60,'Tabela de Códigos e Valores'!$A:$M,2,FALSE)</f>
        <v>Serviço de limpeza - plantonista - recesso judiciário (5 horas)</v>
      </c>
      <c r="G60" s="7" t="str">
        <f>VLOOKUP($E60,'Tabela de Códigos e Valores'!$A:$M,5,FALSE)</f>
        <v>Plantão - Recesso</v>
      </c>
      <c r="H60" s="7" t="str">
        <f>VLOOKUP($E60,'Tabela de Códigos e Valores'!$A:$M,6,FALSE)</f>
        <v>Anual</v>
      </c>
      <c r="I60" s="180">
        <f>VLOOKUP($E60,'Tabela de Códigos e Valores'!$A:$M,7,FALSE)</f>
        <v>6</v>
      </c>
      <c r="J60" s="180">
        <f>VLOOKUP($E60,'Tabela de Códigos e Valores'!$A:$M,8,FALSE)</f>
        <v>30</v>
      </c>
      <c r="K60" s="284">
        <v>1</v>
      </c>
      <c r="L60" s="193">
        <f>IFERROR(VLOOKUP(E60,'Indicadores Financeiros'!$A$90:$J$92,10,FALSE),0)</f>
        <v>0</v>
      </c>
      <c r="M60" s="180">
        <f>VLOOKUP($E60,'Tabela de Códigos e Valores'!$A:$Z,16,FALSE)</f>
        <v>468.29999999999995</v>
      </c>
      <c r="N60" s="180">
        <f>VLOOKUP($E60,'Tabela de Códigos e Valores'!$A:$Z,17,FALSE)</f>
        <v>364.8</v>
      </c>
      <c r="O60" s="180">
        <f>VLOOKUP($E60,'Tabela de Códigos e Valores'!$A:$AAB,28,FALSE)</f>
        <v>116.22</v>
      </c>
      <c r="P60" s="180">
        <f>ROUND(IF($G60&lt;&gt;"M2",IF(VLOOKUP($E60,'Tabela de Códigos e Valores'!$A:$J,10,FALSE)*6%&gt;=VLOOKUP('Relatório Custo'!$A60,'Indicadores Financeiros'!$A$145:$I$208,9,FALSE)*'Relatório Custo'!I60,0,VLOOKUP('Relatório Custo'!$A60,'Indicadores Financeiros'!$A$145:$I$208,9,FALSE)*'Relatório Custo'!I60-VLOOKUP($E60,'Tabela de Códigos e Valores'!$A:$J,10,FALSE)*6%),0),2)</f>
        <v>65.88</v>
      </c>
      <c r="Q60" s="180">
        <f>VLOOKUP($E60,'Tabela de Códigos e Valores'!$A:$AAC,30,FALSE)</f>
        <v>0</v>
      </c>
      <c r="R60" s="180">
        <f>ROUND(ROUND(($M60+$N60+$O60+$P60+$Q60),2)*VLOOKUP($E60,'Tabela de Códigos e Valores'!$A:$AE,31,FALSE)/(1-VLOOKUP($E60,'Tabela de Códigos e Valores'!$A:$AE,31,FALSE)),2)</f>
        <v>0</v>
      </c>
      <c r="S60" s="24">
        <f t="shared" si="0"/>
        <v>1015.1999999999999</v>
      </c>
      <c r="T60" s="182">
        <f>VLOOKUP($A60,'Indicadores Financeiros'!$A$145:$J$208,8,FALSE)</f>
        <v>0.29260000000000003</v>
      </c>
      <c r="U60" s="24">
        <f t="shared" si="14"/>
        <v>1312.25</v>
      </c>
      <c r="V60" s="32">
        <f t="shared" si="15"/>
        <v>1312.25</v>
      </c>
      <c r="W60" s="240">
        <f>VLOOKUP($A60,'Indicadores Financeiros'!$A$145:$J$208,10)</f>
        <v>1</v>
      </c>
      <c r="X60" s="64">
        <f>U60*IF(H60="Mensal",('Indicadores Financeiros'!$F$14-W60+1),IF(H60="Trimestral",INT(('Indicadores Financeiros'!$F$14-W60+1)/3),INT(('Indicadores Financeiros'!$F$14-W60+1)/12)))*K60</f>
        <v>2624.5</v>
      </c>
      <c r="Y60" s="75"/>
      <c r="Z60" s="64">
        <f t="shared" si="16"/>
        <v>0</v>
      </c>
      <c r="AA60" s="64">
        <f>ROUND('Indicadores Financeiros'!$J$71*$Z60,4)</f>
        <v>0</v>
      </c>
      <c r="AB60" s="25"/>
      <c r="AC60" s="23">
        <f>ROUND(IF(OR($G60="Posto",$G60="Plantão - Dom/Fer",$G60="Plantão - Sábado",$G60="Plantão - Recesso"),$U60/$I60,0),2)</f>
        <v>218.71</v>
      </c>
      <c r="AD60" s="23">
        <f>ROUND((ROUND(VLOOKUP($E60,'Tabela de Códigos e Valores'!$A:$AB,26,FALSE)/I60,2)+ROUND(P60/I60,2)+ROUND(M60*'Indicadores Financeiros'!$J$61/I60,2)+ROUND(R60/I60,2))*(1+T60),2)</f>
        <v>55.09</v>
      </c>
      <c r="AE60" s="23">
        <f>IF(G60="posto",IF(OR(E60=690018,E60=690019),'Indicadores Financeiros'!$J$117,IF(OR(E60=690002,E60=690016,E60=690019,E60=690035,E60=690038,E60=690064),'Indicadores Financeiros'!$G$117/2*(1+T60),'Indicadores Financeiros'!$G$117*(1+T60))),0)</f>
        <v>0</v>
      </c>
      <c r="AF60" s="58"/>
      <c r="AG60" s="31"/>
      <c r="AH60" s="273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</row>
    <row r="61" spans="1:346" s="26" customFormat="1" x14ac:dyDescent="0.25">
      <c r="A61" s="21">
        <v>2</v>
      </c>
      <c r="B61" s="21">
        <f>VLOOKUP($A61,'Indicadores Financeiros'!$A$145:$J$306,2,FALSE)</f>
        <v>13</v>
      </c>
      <c r="C61" s="22" t="str">
        <f>VLOOKUP($A61,'Indicadores Financeiros'!$A$145:$J$306,3,FALSE)</f>
        <v>Araraquara I - Fórum Principal</v>
      </c>
      <c r="D61" s="353" t="str">
        <f>VLOOKUP($B61,BIP!A:E,5,FALSE)</f>
        <v>Araraquara</v>
      </c>
      <c r="E61" s="73">
        <v>690035</v>
      </c>
      <c r="F61" s="7" t="str">
        <f>VLOOKUP($E61,'Tabela de Códigos e Valores'!$A:$M,2,FALSE)</f>
        <v>Copeiro(a) - diurno - 24 horas semanais</v>
      </c>
      <c r="G61" s="7" t="str">
        <f>VLOOKUP($E61,'Tabela de Códigos e Valores'!$A:$M,5,FALSE)</f>
        <v>Posto</v>
      </c>
      <c r="H61" s="7" t="str">
        <f>VLOOKUP($E61,'Tabela de Códigos e Valores'!$A:$M,6,FALSE)</f>
        <v>Mensal</v>
      </c>
      <c r="I61" s="180">
        <f>VLOOKUP($E61,'Tabela de Códigos e Valores'!$A:$M,7,FALSE)</f>
        <v>21</v>
      </c>
      <c r="J61" s="180">
        <f>VLOOKUP($E61,'Tabela de Códigos e Valores'!$A:$M,8,FALSE)</f>
        <v>0</v>
      </c>
      <c r="K61" s="284">
        <v>1</v>
      </c>
      <c r="L61" s="193">
        <f>IFERROR(VLOOKUP(E61,'Indicadores Financeiros'!$A$90:$J$92,10,FALSE),0)</f>
        <v>0</v>
      </c>
      <c r="M61" s="180">
        <f>VLOOKUP($E61,'Tabela de Códigos e Valores'!$A:$Z,16,FALSE)</f>
        <v>1037.42</v>
      </c>
      <c r="N61" s="180">
        <f>VLOOKUP($E61,'Tabela de Códigos e Valores'!$A:$Z,17,FALSE)</f>
        <v>808.32</v>
      </c>
      <c r="O61" s="180">
        <f>VLOOKUP($E61,'Tabela de Códigos e Valores'!$A:$AAB,28,FALSE)</f>
        <v>228.59</v>
      </c>
      <c r="P61" s="180">
        <f>ROUND(IF($G61&lt;&gt;"M2",IF(VLOOKUP($E61,'Tabela de Códigos e Valores'!$A:$J,10,FALSE)*6%&gt;=VLOOKUP('Relatório Custo'!$A61,'Indicadores Financeiros'!$A$145:$I$208,9,FALSE)*'Relatório Custo'!I61,0,VLOOKUP('Relatório Custo'!$A61,'Indicadores Financeiros'!$A$145:$I$208,9,FALSE)*'Relatório Custo'!I61-VLOOKUP($E61,'Tabela de Códigos e Valores'!$A:$J,10,FALSE)*6%),0),2)</f>
        <v>168.33</v>
      </c>
      <c r="Q61" s="180">
        <f>VLOOKUP($E61,'Tabela de Códigos e Valores'!$A:$AAC,30,FALSE)</f>
        <v>62.81</v>
      </c>
      <c r="R61" s="180">
        <f>ROUND(ROUND(($M61+$N61+$O61+$P61+$Q61),2)*VLOOKUP($E61,'Tabela de Códigos e Valores'!$A:$AE,31,FALSE)/(1-VLOOKUP($E61,'Tabela de Códigos e Valores'!$A:$AE,31,FALSE)),2)</f>
        <v>0</v>
      </c>
      <c r="S61" s="24">
        <f t="shared" si="0"/>
        <v>2305.4700000000003</v>
      </c>
      <c r="T61" s="182">
        <f>VLOOKUP($A61,'Indicadores Financeiros'!$A$145:$J$208,8,FALSE)</f>
        <v>0.29260000000000003</v>
      </c>
      <c r="U61" s="24">
        <f t="shared" si="14"/>
        <v>2980.05</v>
      </c>
      <c r="V61" s="32">
        <f t="shared" si="15"/>
        <v>2980.05</v>
      </c>
      <c r="W61" s="240">
        <f>VLOOKUP($A61,'Indicadores Financeiros'!$A$145:$J$208,10)</f>
        <v>1</v>
      </c>
      <c r="X61" s="64">
        <f>U61*IF(H61="Mensal",('Indicadores Financeiros'!$F$14-W61+1),IF(H61="Trimestral",INT(('Indicadores Financeiros'!$F$14-W61+1)/3),INT(('Indicadores Financeiros'!$F$14-W61+1)/12)))*K61</f>
        <v>89401.5</v>
      </c>
      <c r="Y61" s="75"/>
      <c r="Z61" s="64">
        <f t="shared" si="16"/>
        <v>1037.42</v>
      </c>
      <c r="AA61" s="64">
        <f>ROUND('Indicadores Financeiros'!$J$71*$Z61,4)</f>
        <v>331.8707</v>
      </c>
      <c r="AB61" s="25"/>
      <c r="AC61" s="23">
        <f t="shared" si="4"/>
        <v>141.91</v>
      </c>
      <c r="AD61" s="23">
        <f>ROUND((ROUND(VLOOKUP($E61,'Tabela de Códigos e Valores'!$A:$AB,26,FALSE)/I61,2)+ROUND(P61/I61,2)+ROUND(M61*'Indicadores Financeiros'!$J$61/I61,2)+ROUND(R61/I61,2))*(1+T61),2)</f>
        <v>20.41</v>
      </c>
      <c r="AE61" s="23">
        <f>IF(G61="posto",IF(OR(E61=690018,E61=690019),'Indicadores Financeiros'!$J$117,IF(OR(E61=690002,E61=690016,E61=690019,E61=690035,E61=690038,E61=690064),'Indicadores Financeiros'!$G$117/2*(1+T61),'Indicadores Financeiros'!$G$117*(1+T61))),0)</f>
        <v>0</v>
      </c>
      <c r="AF61" s="58"/>
      <c r="AG61" s="31"/>
      <c r="AH61" s="273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</row>
    <row r="62" spans="1:346" s="26" customFormat="1" ht="24" x14ac:dyDescent="0.25">
      <c r="A62" s="21">
        <v>2</v>
      </c>
      <c r="B62" s="21">
        <f>VLOOKUP($A62,'Indicadores Financeiros'!$A$145:$J$306,2,FALSE)</f>
        <v>13</v>
      </c>
      <c r="C62" s="22" t="str">
        <f>VLOOKUP($A62,'Indicadores Financeiros'!$A$145:$J$306,3,FALSE)</f>
        <v>Araraquara I - Fórum Principal</v>
      </c>
      <c r="D62" s="353" t="str">
        <f>VLOOKUP($B62,BIP!A:E,5,FALSE)</f>
        <v>Araraquara</v>
      </c>
      <c r="E62" s="73">
        <v>690037</v>
      </c>
      <c r="F62" s="7" t="str">
        <f>VLOOKUP($E62,'Tabela de Códigos e Valores'!$A:$M,2,FALSE)</f>
        <v>Agente de Higienização (Tempo Integral) - (40%) - 44 horas semanais</v>
      </c>
      <c r="G62" s="7" t="str">
        <f>VLOOKUP($E62,'Tabela de Códigos e Valores'!$A:$M,5,FALSE)</f>
        <v>Posto</v>
      </c>
      <c r="H62" s="7" t="str">
        <f>VLOOKUP($E62,'Tabela de Códigos e Valores'!$A:$M,6,FALSE)</f>
        <v>Mensal</v>
      </c>
      <c r="I62" s="180">
        <f>VLOOKUP($E62,'Tabela de Códigos e Valores'!$A:$M,7,FALSE)</f>
        <v>21</v>
      </c>
      <c r="J62" s="180">
        <f>VLOOKUP($E62,'Tabela de Códigos e Valores'!$A:$M,8,FALSE)</f>
        <v>0</v>
      </c>
      <c r="K62" s="284">
        <v>1</v>
      </c>
      <c r="L62" s="193">
        <f>IFERROR(VLOOKUP(E62,'Indicadores Financeiros'!$A$90:$J$92,10,FALSE),0)</f>
        <v>0</v>
      </c>
      <c r="M62" s="180">
        <f>VLOOKUP($E62,'Tabela de Códigos e Valores'!$A:$Z,16,FALSE)</f>
        <v>2324.4</v>
      </c>
      <c r="N62" s="180">
        <f>VLOOKUP($E62,'Tabela de Códigos e Valores'!$A:$Z,17,FALSE)</f>
        <v>1811.09</v>
      </c>
      <c r="O62" s="180">
        <f>VLOOKUP($E62,'Tabela de Códigos e Valores'!$A:$AAB,28,FALSE)</f>
        <v>635.36</v>
      </c>
      <c r="P62" s="180">
        <f>ROUND(IF($G62&lt;&gt;"M2",IF(VLOOKUP($E62,'Tabela de Códigos e Valores'!$A:$J,10,FALSE)*6%&gt;=VLOOKUP('Relatório Custo'!$A62,'Indicadores Financeiros'!$A$145:$I$208,9,FALSE)*'Relatório Custo'!I62,0,VLOOKUP('Relatório Custo'!$A62,'Indicadores Financeiros'!$A$145:$I$208,9,FALSE)*'Relatório Custo'!I62-VLOOKUP($E62,'Tabela de Códigos e Valores'!$A:$J,10,FALSE)*6%),0),2)</f>
        <v>127.55</v>
      </c>
      <c r="Q62" s="180">
        <f>VLOOKUP($E62,'Tabela de Códigos e Valores'!$A:$AAC,30,FALSE)</f>
        <v>62.81</v>
      </c>
      <c r="R62" s="180">
        <f>ROUND(ROUND(($M62+$N62+$O62+$P62+$Q62),2)*VLOOKUP($E62,'Tabela de Códigos e Valores'!$A:$AE,31,FALSE)/(1-VLOOKUP($E62,'Tabela de Códigos e Valores'!$A:$AE,31,FALSE)),2)</f>
        <v>676.53</v>
      </c>
      <c r="S62" s="24">
        <f t="shared" si="0"/>
        <v>5637.74</v>
      </c>
      <c r="T62" s="182">
        <f>VLOOKUP($A62,'Indicadores Financeiros'!$A$145:$J$208,8,FALSE)</f>
        <v>0.29260000000000003</v>
      </c>
      <c r="U62" s="24">
        <f t="shared" si="14"/>
        <v>7287.34</v>
      </c>
      <c r="V62" s="32">
        <f t="shared" si="15"/>
        <v>7287.34</v>
      </c>
      <c r="W62" s="240">
        <f>VLOOKUP($A62,'Indicadores Financeiros'!$A$145:$J$208,10)</f>
        <v>1</v>
      </c>
      <c r="X62" s="64">
        <f>U62*IF(H62="Mensal",('Indicadores Financeiros'!$F$14-W62+1),IF(H62="Trimestral",INT(('Indicadores Financeiros'!$F$14-W62+1)/3),INT(('Indicadores Financeiros'!$F$14-W62+1)/12)))*K62</f>
        <v>218620.2</v>
      </c>
      <c r="Y62" s="75"/>
      <c r="Z62" s="64">
        <f t="shared" si="16"/>
        <v>2324.4</v>
      </c>
      <c r="AA62" s="64">
        <f>ROUND('Indicadores Financeiros'!$J$71*$Z62,4)</f>
        <v>743.57560000000001</v>
      </c>
      <c r="AB62" s="25"/>
      <c r="AC62" s="23">
        <f t="shared" si="4"/>
        <v>347.02</v>
      </c>
      <c r="AD62" s="23">
        <f>ROUND((ROUND(VLOOKUP($E62,'Tabela de Códigos e Valores'!$A:$AB,26,FALSE)/I62,2)+ROUND(P62/I62,2)+ROUND(M62*'Indicadores Financeiros'!$J$61/I62,2)+ROUND(R62/I62,2))*(1+T62),2)</f>
        <v>97.02</v>
      </c>
      <c r="AE62" s="23">
        <f>IF(G62="posto",IF(OR(E62=690018,E62=690019),'Indicadores Financeiros'!$J$117,IF(OR(E62=690002,E62=690016,E62=690019,E62=690035,E62=690038,E62=690064),'Indicadores Financeiros'!$G$117/2*(1+T62),'Indicadores Financeiros'!$G$117*(1+T62))),0)</f>
        <v>0</v>
      </c>
      <c r="AF62" s="58"/>
      <c r="AG62" s="31"/>
      <c r="AH62" s="273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</row>
    <row r="63" spans="1:346" s="26" customFormat="1" ht="24" x14ac:dyDescent="0.25">
      <c r="A63" s="21">
        <v>2</v>
      </c>
      <c r="B63" s="21">
        <f>VLOOKUP($A63,'Indicadores Financeiros'!$A$145:$J$306,2,FALSE)</f>
        <v>13</v>
      </c>
      <c r="C63" s="22" t="str">
        <f>VLOOKUP($A63,'Indicadores Financeiros'!$A$145:$J$306,3,FALSE)</f>
        <v>Araraquara I - Fórum Principal</v>
      </c>
      <c r="D63" s="353" t="str">
        <f>VLOOKUP($B63,BIP!A:E,5,FALSE)</f>
        <v>Araraquara</v>
      </c>
      <c r="E63" s="73">
        <v>690038</v>
      </c>
      <c r="F63" s="7" t="str">
        <f>VLOOKUP($E63,'Tabela de Códigos e Valores'!$A:$M,2,FALSE)</f>
        <v>Agente de Higienização (Tempo Integral) - (40%) - 24 horas semanais</v>
      </c>
      <c r="G63" s="7" t="str">
        <f>VLOOKUP($E63,'Tabela de Códigos e Valores'!$A:$M,5,FALSE)</f>
        <v>Posto</v>
      </c>
      <c r="H63" s="7" t="str">
        <f>VLOOKUP($E63,'Tabela de Códigos e Valores'!$A:$M,6,FALSE)</f>
        <v>Mensal</v>
      </c>
      <c r="I63" s="180">
        <f>VLOOKUP($E63,'Tabela de Códigos e Valores'!$A:$M,7,FALSE)</f>
        <v>21</v>
      </c>
      <c r="J63" s="180">
        <f>VLOOKUP($E63,'Tabela de Códigos e Valores'!$A:$M,8,FALSE)</f>
        <v>0</v>
      </c>
      <c r="K63" s="284">
        <v>1</v>
      </c>
      <c r="L63" s="193">
        <f>IFERROR(VLOOKUP(E63,'Indicadores Financeiros'!$A$90:$J$92,10,FALSE),0)</f>
        <v>0</v>
      </c>
      <c r="M63" s="180">
        <f>VLOOKUP($E63,'Tabela de Códigos e Valores'!$A:$Z,16,FALSE)</f>
        <v>1637.52</v>
      </c>
      <c r="N63" s="180">
        <f>VLOOKUP($E63,'Tabela de Códigos e Valores'!$A:$Z,17,FALSE)</f>
        <v>1275.9000000000001</v>
      </c>
      <c r="O63" s="180">
        <f>VLOOKUP($E63,'Tabela de Códigos e Valores'!$A:$AAB,28,FALSE)</f>
        <v>228.59</v>
      </c>
      <c r="P63" s="180">
        <f>ROUND(IF($G63&lt;&gt;"M2",IF(VLOOKUP($E63,'Tabela de Códigos e Valores'!$A:$J,10,FALSE)*6%&gt;=VLOOKUP('Relatório Custo'!$A63,'Indicadores Financeiros'!$A$145:$I$208,9,FALSE)*'Relatório Custo'!I63,0,VLOOKUP('Relatório Custo'!$A63,'Indicadores Financeiros'!$A$145:$I$208,9,FALSE)*'Relatório Custo'!I63-VLOOKUP($E63,'Tabela de Códigos e Valores'!$A:$J,10,FALSE)*6%),0),2)</f>
        <v>168.76</v>
      </c>
      <c r="Q63" s="180">
        <f>VLOOKUP($E63,'Tabela de Códigos e Valores'!$A:$AAC,30,FALSE)</f>
        <v>62.81</v>
      </c>
      <c r="R63" s="180">
        <f>ROUND(ROUND(($M63+$N63+$O63+$P63+$Q63),2)*VLOOKUP($E63,'Tabela de Códigos e Valores'!$A:$AE,31,FALSE)/(1-VLOOKUP($E63,'Tabela de Códigos e Valores'!$A:$AE,31,FALSE)),2)</f>
        <v>460.03</v>
      </c>
      <c r="S63" s="24">
        <f t="shared" si="0"/>
        <v>3833.6100000000006</v>
      </c>
      <c r="T63" s="182">
        <f>VLOOKUP($A63,'Indicadores Financeiros'!$A$145:$J$208,8,FALSE)</f>
        <v>0.29260000000000003</v>
      </c>
      <c r="U63" s="24">
        <f t="shared" si="14"/>
        <v>4955.32</v>
      </c>
      <c r="V63" s="32">
        <f t="shared" si="15"/>
        <v>4955.32</v>
      </c>
      <c r="W63" s="240">
        <f>VLOOKUP($A63,'Indicadores Financeiros'!$A$145:$J$208,10)</f>
        <v>1</v>
      </c>
      <c r="X63" s="64">
        <f>U63*IF(H63="Mensal",('Indicadores Financeiros'!$F$14-W63+1),IF(H63="Trimestral",INT(('Indicadores Financeiros'!$F$14-W63+1)/3),INT(('Indicadores Financeiros'!$F$14-W63+1)/12)))*K63</f>
        <v>148659.59999999998</v>
      </c>
      <c r="Y63" s="75"/>
      <c r="Z63" s="64">
        <f t="shared" si="16"/>
        <v>1637.52</v>
      </c>
      <c r="AA63" s="64">
        <f>ROUND('Indicadores Financeiros'!$J$71*$Z63,4)</f>
        <v>523.84259999999995</v>
      </c>
      <c r="AB63" s="25"/>
      <c r="AC63" s="23">
        <f t="shared" si="4"/>
        <v>235.97</v>
      </c>
      <c r="AD63" s="23">
        <f>ROUND((ROUND(VLOOKUP($E63,'Tabela de Códigos e Valores'!$A:$AB,26,FALSE)/I63,2)+ROUND(P63/I63,2)+ROUND(M63*'Indicadores Financeiros'!$J$61/I63,2)+ROUND(R63/I63,2))*(1+T63),2)</f>
        <v>54.56</v>
      </c>
      <c r="AE63" s="23">
        <f>IF(G63="posto",IF(OR(E63=690018,E63=690019),'Indicadores Financeiros'!$J$117,IF(OR(E63=690002,E63=690016,E63=690019,E63=690035,E63=690038,E63=690064),'Indicadores Financeiros'!$G$117/2*(1+T63),'Indicadores Financeiros'!$G$117*(1+T63))),0)</f>
        <v>0</v>
      </c>
      <c r="AF63" s="58"/>
      <c r="AG63" s="31"/>
      <c r="AH63" s="273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</row>
    <row r="64" spans="1:346" s="26" customFormat="1" ht="24" x14ac:dyDescent="0.25">
      <c r="A64" s="21">
        <v>2</v>
      </c>
      <c r="B64" s="21">
        <f>VLOOKUP($A64,'Indicadores Financeiros'!$A$145:$J$306,2,FALSE)</f>
        <v>13</v>
      </c>
      <c r="C64" s="22" t="str">
        <f>VLOOKUP($A64,'Indicadores Financeiros'!$A$145:$J$306,3,FALSE)</f>
        <v>Araraquara I - Fórum Principal</v>
      </c>
      <c r="D64" s="353" t="str">
        <f>VLOOKUP($B64,BIP!A:E,5,FALSE)</f>
        <v>Araraquara</v>
      </c>
      <c r="E64" s="73">
        <v>690054</v>
      </c>
      <c r="F64" s="7" t="str">
        <f>VLOOKUP($E64,'Tabela de Códigos e Valores'!$A:$M,2,FALSE)</f>
        <v>Líder até 10 subordinados - diurno - 44 horas semanais</v>
      </c>
      <c r="G64" s="7" t="str">
        <f>VLOOKUP($E64,'Tabela de Códigos e Valores'!$A:$M,5,FALSE)</f>
        <v>Posto</v>
      </c>
      <c r="H64" s="7" t="str">
        <f>VLOOKUP($E64,'Tabela de Códigos e Valores'!$A:$M,6,FALSE)</f>
        <v>Mensal</v>
      </c>
      <c r="I64" s="180">
        <f>VLOOKUP($E64,'Tabela de Códigos e Valores'!$A:$M,7,FALSE)</f>
        <v>21</v>
      </c>
      <c r="J64" s="180">
        <f>VLOOKUP($E64,'Tabela de Códigos e Valores'!$A:$M,8,FALSE)</f>
        <v>0</v>
      </c>
      <c r="K64" s="284">
        <v>1</v>
      </c>
      <c r="L64" s="193">
        <f>IFERROR(VLOOKUP(E64,'Indicadores Financeiros'!$A$90:$J$92,10,FALSE),0)</f>
        <v>0</v>
      </c>
      <c r="M64" s="180">
        <f>VLOOKUP($E64,'Tabela de Códigos e Valores'!$A:$Z,16,FALSE)</f>
        <v>1872.8</v>
      </c>
      <c r="N64" s="180">
        <f>VLOOKUP($E64,'Tabela de Códigos e Valores'!$A:$Z,17,FALSE)</f>
        <v>1459.22</v>
      </c>
      <c r="O64" s="180">
        <f>VLOOKUP($E64,'Tabela de Códigos e Valores'!$A:$AAB,28,FALSE)</f>
        <v>635.36</v>
      </c>
      <c r="P64" s="180">
        <f>ROUND(IF($G64&lt;&gt;"M2",IF(VLOOKUP($E64,'Tabela de Códigos e Valores'!$A:$J,10,FALSE)*6%&gt;=VLOOKUP('Relatório Custo'!$A64,'Indicadores Financeiros'!$A$145:$I$208,9,FALSE)*'Relatório Custo'!I64,0,VLOOKUP('Relatório Custo'!$A64,'Indicadores Financeiros'!$A$145:$I$208,9,FALSE)*'Relatório Custo'!I64-VLOOKUP($E64,'Tabela de Códigos e Valores'!$A:$J,10,FALSE)*6%),0),2)</f>
        <v>118.21</v>
      </c>
      <c r="Q64" s="180">
        <f>VLOOKUP($E64,'Tabela de Códigos e Valores'!$A:$AAC,30,FALSE)</f>
        <v>73.040000000000006</v>
      </c>
      <c r="R64" s="180">
        <f>ROUND(ROUND(($M64+$N64+$O64+$P64+$Q64),2)*VLOOKUP($E64,'Tabela de Códigos e Valores'!$A:$AE,31,FALSE)/(1-VLOOKUP($E64,'Tabela de Códigos e Valores'!$A:$AE,31,FALSE)),2)</f>
        <v>567.09</v>
      </c>
      <c r="S64" s="24">
        <f t="shared" si="0"/>
        <v>4725.72</v>
      </c>
      <c r="T64" s="182">
        <f>VLOOKUP($A64,'Indicadores Financeiros'!$A$145:$J$208,8,FALSE)</f>
        <v>0.29260000000000003</v>
      </c>
      <c r="U64" s="24">
        <f t="shared" si="14"/>
        <v>6108.47</v>
      </c>
      <c r="V64" s="32">
        <f t="shared" si="15"/>
        <v>6108.47</v>
      </c>
      <c r="W64" s="240">
        <f>VLOOKUP($A64,'Indicadores Financeiros'!$A$145:$J$208,10)</f>
        <v>1</v>
      </c>
      <c r="X64" s="64">
        <f>U64*IF(H64="Mensal",('Indicadores Financeiros'!$F$14-W64+1),IF(H64="Trimestral",INT(('Indicadores Financeiros'!$F$14-W64+1)/3),INT(('Indicadores Financeiros'!$F$14-W64+1)/12)))*K64</f>
        <v>183254.1</v>
      </c>
      <c r="Y64" s="75"/>
      <c r="Z64" s="64">
        <f t="shared" si="16"/>
        <v>1872.8</v>
      </c>
      <c r="AA64" s="64">
        <f>ROUND('Indicadores Financeiros'!$J$71*$Z64,4)</f>
        <v>599.1087</v>
      </c>
      <c r="AB64" s="25"/>
      <c r="AC64" s="23">
        <f t="shared" si="4"/>
        <v>290.88</v>
      </c>
      <c r="AD64" s="23">
        <f>ROUND((ROUND(VLOOKUP($E64,'Tabela de Códigos e Valores'!$A:$AB,26,FALSE)/I64,2)+ROUND(P64/I64,2)+ROUND(M64*'Indicadores Financeiros'!$J$61/I64,2)+ROUND(R64/I64,2))*(1+T64),2)</f>
        <v>85.34</v>
      </c>
      <c r="AE64" s="23">
        <f>IF(G64="posto",IF(OR(E64=690018,E64=690019),'Indicadores Financeiros'!$J$117,IF(OR(E64=690002,E64=690016,E64=690019,E64=690035,E64=690038,E64=690064),'Indicadores Financeiros'!$G$117/2*(1+T64),'Indicadores Financeiros'!$G$117*(1+T64))),0)</f>
        <v>0</v>
      </c>
      <c r="AF64" s="58"/>
      <c r="AG64" s="31"/>
      <c r="AH64" s="273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</row>
    <row r="65" spans="1:346" s="26" customFormat="1" ht="24" x14ac:dyDescent="0.25">
      <c r="A65" s="21">
        <v>2</v>
      </c>
      <c r="B65" s="21">
        <f>VLOOKUP($A65,'Indicadores Financeiros'!$A$145:$J$306,2,FALSE)</f>
        <v>13</v>
      </c>
      <c r="C65" s="22" t="str">
        <f>VLOOKUP($A65,'Indicadores Financeiros'!$A$145:$J$306,3,FALSE)</f>
        <v>Araraquara I - Fórum Principal</v>
      </c>
      <c r="D65" s="353" t="str">
        <f>VLOOKUP($B65,BIP!A:E,5,FALSE)</f>
        <v>Araraquara</v>
      </c>
      <c r="E65" s="73">
        <v>690055</v>
      </c>
      <c r="F65" s="7" t="str">
        <f>VLOOKUP($E65,'Tabela de Códigos e Valores'!$A:$M,2,FALSE)</f>
        <v>Líder até 10 subordinados - noturno - 44 horas semanais</v>
      </c>
      <c r="G65" s="7" t="str">
        <f>VLOOKUP($E65,'Tabela de Códigos e Valores'!$A:$M,5,FALSE)</f>
        <v>Posto</v>
      </c>
      <c r="H65" s="7" t="str">
        <f>VLOOKUP($E65,'Tabela de Códigos e Valores'!$A:$M,6,FALSE)</f>
        <v>Mensal</v>
      </c>
      <c r="I65" s="180">
        <f>VLOOKUP($E65,'Tabela de Códigos e Valores'!$A:$M,7,FALSE)</f>
        <v>21</v>
      </c>
      <c r="J65" s="180">
        <f>VLOOKUP($E65,'Tabela de Códigos e Valores'!$A:$M,8,FALSE)</f>
        <v>0</v>
      </c>
      <c r="K65" s="284">
        <v>1</v>
      </c>
      <c r="L65" s="193">
        <f>IFERROR(VLOOKUP(E65,'Indicadores Financeiros'!$A$90:$J$92,10,FALSE),0)</f>
        <v>0</v>
      </c>
      <c r="M65" s="180">
        <f>VLOOKUP($E65,'Tabela de Códigos e Valores'!$A:$Z,16,FALSE)</f>
        <v>2271.19</v>
      </c>
      <c r="N65" s="180">
        <f>VLOOKUP($E65,'Tabela de Códigos e Valores'!$A:$Z,17,FALSE)</f>
        <v>1769.63</v>
      </c>
      <c r="O65" s="180">
        <f>VLOOKUP($E65,'Tabela de Códigos e Valores'!$A:$AAB,28,FALSE)</f>
        <v>635.36</v>
      </c>
      <c r="P65" s="180">
        <f>ROUND(IF($G65&lt;&gt;"M2",IF(VLOOKUP($E65,'Tabela de Códigos e Valores'!$A:$J,10,FALSE)*6%&gt;=VLOOKUP('Relatório Custo'!$A65,'Indicadores Financeiros'!$A$145:$I$208,9,FALSE)*'Relatório Custo'!I65,0,VLOOKUP('Relatório Custo'!$A65,'Indicadores Financeiros'!$A$145:$I$208,9,FALSE)*'Relatório Custo'!I65-VLOOKUP($E65,'Tabela de Códigos e Valores'!$A:$J,10,FALSE)*6%),0),2)</f>
        <v>118.21</v>
      </c>
      <c r="Q65" s="180">
        <f>VLOOKUP($E65,'Tabela de Códigos e Valores'!$A:$AAC,30,FALSE)</f>
        <v>73.040000000000006</v>
      </c>
      <c r="R65" s="180">
        <f>ROUND(ROUND(($M65+$N65+$O65+$P65+$Q65),2)*VLOOKUP($E65,'Tabela de Códigos e Valores'!$A:$AE,31,FALSE)/(1-VLOOKUP($E65,'Tabela de Códigos e Valores'!$A:$AE,31,FALSE)),2)</f>
        <v>663.74</v>
      </c>
      <c r="S65" s="24">
        <f t="shared" si="0"/>
        <v>5531.17</v>
      </c>
      <c r="T65" s="182">
        <f>VLOOKUP($A65,'Indicadores Financeiros'!$A$145:$J$208,8,FALSE)</f>
        <v>0.29260000000000003</v>
      </c>
      <c r="U65" s="24">
        <f t="shared" si="14"/>
        <v>7149.59</v>
      </c>
      <c r="V65" s="32">
        <f t="shared" si="15"/>
        <v>7149.59</v>
      </c>
      <c r="W65" s="240">
        <f>VLOOKUP($A65,'Indicadores Financeiros'!$A$145:$J$208,10)</f>
        <v>1</v>
      </c>
      <c r="X65" s="64">
        <f>U65*IF(H65="Mensal",('Indicadores Financeiros'!$F$14-W65+1),IF(H65="Trimestral",INT(('Indicadores Financeiros'!$F$14-W65+1)/3),INT(('Indicadores Financeiros'!$F$14-W65+1)/12)))*K65</f>
        <v>214487.7</v>
      </c>
      <c r="Y65" s="75"/>
      <c r="Z65" s="64">
        <f t="shared" si="16"/>
        <v>2271.19</v>
      </c>
      <c r="AA65" s="64">
        <f>ROUND('Indicadores Financeiros'!$J$71*$Z65,4)</f>
        <v>726.55370000000005</v>
      </c>
      <c r="AB65" s="25"/>
      <c r="AC65" s="23">
        <f t="shared" si="4"/>
        <v>340.46</v>
      </c>
      <c r="AD65" s="23">
        <f>ROUND((ROUND(VLOOKUP($E65,'Tabela de Códigos e Valores'!$A:$AB,26,FALSE)/I65,2)+ROUND(P65/I65,2)+ROUND(M65*'Indicadores Financeiros'!$J$61/I65,2)+ROUND(R65/I65,2))*(1+T65),2)</f>
        <v>95.15</v>
      </c>
      <c r="AE65" s="23">
        <f>IF(G65="posto",IF(OR(E65=690018,E65=690019),'Indicadores Financeiros'!$J$117,IF(OR(E65=690002,E65=690016,E65=690019,E65=690035,E65=690038,E65=690064),'Indicadores Financeiros'!$G$117/2*(1+T65),'Indicadores Financeiros'!$G$117*(1+T65))),0)</f>
        <v>0</v>
      </c>
      <c r="AF65" s="58"/>
      <c r="AG65" s="31"/>
      <c r="AH65" s="273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</row>
    <row r="66" spans="1:346" s="26" customFormat="1" ht="24" x14ac:dyDescent="0.25">
      <c r="A66" s="21">
        <v>2</v>
      </c>
      <c r="B66" s="21">
        <f>VLOOKUP($A66,'Indicadores Financeiros'!$A$145:$J$306,2,FALSE)</f>
        <v>13</v>
      </c>
      <c r="C66" s="22" t="str">
        <f>VLOOKUP($A66,'Indicadores Financeiros'!$A$145:$J$306,3,FALSE)</f>
        <v>Araraquara I - Fórum Principal</v>
      </c>
      <c r="D66" s="353" t="str">
        <f>VLOOKUP($B66,BIP!A:E,5,FALSE)</f>
        <v>Araraquara</v>
      </c>
      <c r="E66" s="73">
        <v>690056</v>
      </c>
      <c r="F66" s="7" t="str">
        <f>VLOOKUP($E66,'Tabela de Códigos e Valores'!$A:$M,2,FALSE)</f>
        <v>Encarregado(a) 11 ou mais subordinados - diurno - 44 horas semanais</v>
      </c>
      <c r="G66" s="7" t="str">
        <f>VLOOKUP($E66,'Tabela de Códigos e Valores'!$A:$M,5,FALSE)</f>
        <v>Posto</v>
      </c>
      <c r="H66" s="7" t="str">
        <f>VLOOKUP($E66,'Tabela de Códigos e Valores'!$A:$M,6,FALSE)</f>
        <v>Mensal</v>
      </c>
      <c r="I66" s="180">
        <f>VLOOKUP($E66,'Tabela de Códigos e Valores'!$A:$M,7,FALSE)</f>
        <v>21</v>
      </c>
      <c r="J66" s="180">
        <f>VLOOKUP($E66,'Tabela de Códigos e Valores'!$A:$M,8,FALSE)</f>
        <v>0</v>
      </c>
      <c r="K66" s="284">
        <v>1</v>
      </c>
      <c r="L66" s="193">
        <f>IFERROR(VLOOKUP(E66,'Indicadores Financeiros'!$A$90:$J$92,10,FALSE),0)</f>
        <v>0</v>
      </c>
      <c r="M66" s="180">
        <f>VLOOKUP($E66,'Tabela de Códigos e Valores'!$A:$Z,16,FALSE)</f>
        <v>2247.37</v>
      </c>
      <c r="N66" s="180">
        <f>VLOOKUP($E66,'Tabela de Códigos e Valores'!$A:$Z,17,FALSE)</f>
        <v>1751.07</v>
      </c>
      <c r="O66" s="180">
        <f>VLOOKUP($E66,'Tabela de Códigos e Valores'!$A:$AAB,28,FALSE)</f>
        <v>635.36</v>
      </c>
      <c r="P66" s="180">
        <f>ROUND(IF($G66&lt;&gt;"M2",IF(VLOOKUP($E66,'Tabela de Códigos e Valores'!$A:$J,10,FALSE)*6%&gt;=VLOOKUP('Relatório Custo'!$A66,'Indicadores Financeiros'!$A$145:$I$208,9,FALSE)*'Relatório Custo'!I66,0,VLOOKUP('Relatório Custo'!$A66,'Indicadores Financeiros'!$A$145:$I$208,9,FALSE)*'Relatório Custo'!I66-VLOOKUP($E66,'Tabela de Códigos e Valores'!$A:$J,10,FALSE)*6%),0),2)</f>
        <v>95.74</v>
      </c>
      <c r="Q66" s="180">
        <f>VLOOKUP($E66,'Tabela de Códigos e Valores'!$A:$AAC,30,FALSE)</f>
        <v>73.040000000000006</v>
      </c>
      <c r="R66" s="180">
        <f>ROUND(ROUND(($M66+$N66+$O66+$P66+$Q66),2)*VLOOKUP($E66,'Tabela de Códigos e Valores'!$A:$AE,31,FALSE)/(1-VLOOKUP($E66,'Tabela de Códigos e Valores'!$A:$AE,31,FALSE)),2)</f>
        <v>654.9</v>
      </c>
      <c r="S66" s="24">
        <f t="shared" si="0"/>
        <v>5457.4799999999987</v>
      </c>
      <c r="T66" s="182">
        <f>VLOOKUP($A66,'Indicadores Financeiros'!$A$145:$J$208,8,FALSE)</f>
        <v>0.29260000000000003</v>
      </c>
      <c r="U66" s="24">
        <f t="shared" si="14"/>
        <v>7054.34</v>
      </c>
      <c r="V66" s="32">
        <f t="shared" si="15"/>
        <v>7054.34</v>
      </c>
      <c r="W66" s="240">
        <f>VLOOKUP($A66,'Indicadores Financeiros'!$A$145:$J$208,10)</f>
        <v>1</v>
      </c>
      <c r="X66" s="64">
        <f>U66*IF(H66="Mensal",('Indicadores Financeiros'!$F$14-W66+1),IF(H66="Trimestral",INT(('Indicadores Financeiros'!$F$14-W66+1)/3),INT(('Indicadores Financeiros'!$F$14-W66+1)/12)))*K66</f>
        <v>211630.2</v>
      </c>
      <c r="Y66" s="75"/>
      <c r="Z66" s="64">
        <f t="shared" si="16"/>
        <v>2247.37</v>
      </c>
      <c r="AA66" s="64">
        <f>ROUND('Indicadores Financeiros'!$J$71*$Z66,4)</f>
        <v>718.93370000000004</v>
      </c>
      <c r="AB66" s="25"/>
      <c r="AC66" s="23">
        <f t="shared" si="4"/>
        <v>335.92</v>
      </c>
      <c r="AD66" s="23">
        <f>ROUND((ROUND(VLOOKUP($E66,'Tabela de Códigos e Valores'!$A:$AB,26,FALSE)/I66,2)+ROUND(P66/I66,2)+ROUND(M66*'Indicadores Financeiros'!$J$61/I66,2)+ROUND(R66/I66,2))*(1+T66),2)</f>
        <v>92.99</v>
      </c>
      <c r="AE66" s="23">
        <f>IF(G66="posto",IF(OR(E66=690018,E66=690019),'Indicadores Financeiros'!$J$117,IF(OR(E66=690002,E66=690016,E66=690019,E66=690035,E66=690038,E66=690064),'Indicadores Financeiros'!$G$117/2*(1+T66),'Indicadores Financeiros'!$G$117*(1+T66))),0)</f>
        <v>0</v>
      </c>
      <c r="AF66" s="58"/>
      <c r="AG66" s="31"/>
      <c r="AH66" s="273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</row>
    <row r="67" spans="1:346" s="26" customFormat="1" ht="24" x14ac:dyDescent="0.25">
      <c r="A67" s="21">
        <v>2</v>
      </c>
      <c r="B67" s="21">
        <f>VLOOKUP($A67,'Indicadores Financeiros'!$A$145:$J$306,2,FALSE)</f>
        <v>13</v>
      </c>
      <c r="C67" s="22" t="str">
        <f>VLOOKUP($A67,'Indicadores Financeiros'!$A$145:$J$306,3,FALSE)</f>
        <v>Araraquara I - Fórum Principal</v>
      </c>
      <c r="D67" s="353" t="str">
        <f>VLOOKUP($B67,BIP!A:E,5,FALSE)</f>
        <v>Araraquara</v>
      </c>
      <c r="E67" s="73">
        <v>690057</v>
      </c>
      <c r="F67" s="7" t="str">
        <f>VLOOKUP($E67,'Tabela de Códigos e Valores'!$A:$M,2,FALSE)</f>
        <v>Encarregado(a) 11 ou mais subordinados - noturno - 44 horas semanais</v>
      </c>
      <c r="G67" s="7" t="str">
        <f>VLOOKUP($E67,'Tabela de Códigos e Valores'!$A:$M,5,FALSE)</f>
        <v>Posto</v>
      </c>
      <c r="H67" s="7" t="str">
        <f>VLOOKUP($E67,'Tabela de Códigos e Valores'!$A:$M,6,FALSE)</f>
        <v>Mensal</v>
      </c>
      <c r="I67" s="180">
        <f>VLOOKUP($E67,'Tabela de Códigos e Valores'!$A:$M,7,FALSE)</f>
        <v>21</v>
      </c>
      <c r="J67" s="180">
        <f>VLOOKUP($E67,'Tabela de Códigos e Valores'!$A:$M,8,FALSE)</f>
        <v>0</v>
      </c>
      <c r="K67" s="284">
        <v>1</v>
      </c>
      <c r="L67" s="193">
        <f>IFERROR(VLOOKUP(E67,'Indicadores Financeiros'!$A$90:$J$92,10,FALSE),0)</f>
        <v>0</v>
      </c>
      <c r="M67" s="180">
        <f>VLOOKUP($E67,'Tabela de Códigos e Valores'!$A:$Z,16,FALSE)</f>
        <v>2725.45</v>
      </c>
      <c r="N67" s="180">
        <f>VLOOKUP($E67,'Tabela de Códigos e Valores'!$A:$Z,17,FALSE)</f>
        <v>2123.58</v>
      </c>
      <c r="O67" s="180">
        <f>VLOOKUP($E67,'Tabela de Códigos e Valores'!$A:$AAB,28,FALSE)</f>
        <v>635.36</v>
      </c>
      <c r="P67" s="180">
        <f>ROUND(IF($G67&lt;&gt;"M2",IF(VLOOKUP($E67,'Tabela de Códigos e Valores'!$A:$J,10,FALSE)*6%&gt;=VLOOKUP('Relatório Custo'!$A67,'Indicadores Financeiros'!$A$145:$I$208,9,FALSE)*'Relatório Custo'!I67,0,VLOOKUP('Relatório Custo'!$A67,'Indicadores Financeiros'!$A$145:$I$208,9,FALSE)*'Relatório Custo'!I67-VLOOKUP($E67,'Tabela de Códigos e Valores'!$A:$J,10,FALSE)*6%),0),2)</f>
        <v>95.74</v>
      </c>
      <c r="Q67" s="180">
        <f>VLOOKUP($E67,'Tabela de Códigos e Valores'!$A:$AAC,30,FALSE)</f>
        <v>73.040000000000006</v>
      </c>
      <c r="R67" s="180">
        <f>ROUND(ROUND(($M67+$N67+$O67+$P67+$Q67),2)*VLOOKUP($E67,'Tabela de Códigos e Valores'!$A:$AE,31,FALSE)/(1-VLOOKUP($E67,'Tabela de Códigos e Valores'!$A:$AE,31,FALSE)),2)</f>
        <v>770.89</v>
      </c>
      <c r="S67" s="24">
        <f t="shared" si="0"/>
        <v>6424.0599999999995</v>
      </c>
      <c r="T67" s="182">
        <f>VLOOKUP($A67,'Indicadores Financeiros'!$A$145:$J$208,8,FALSE)</f>
        <v>0.29260000000000003</v>
      </c>
      <c r="U67" s="24">
        <f t="shared" si="14"/>
        <v>8303.74</v>
      </c>
      <c r="V67" s="32">
        <f t="shared" si="15"/>
        <v>8303.74</v>
      </c>
      <c r="W67" s="240">
        <f>VLOOKUP($A67,'Indicadores Financeiros'!$A$145:$J$208,10)</f>
        <v>1</v>
      </c>
      <c r="X67" s="64">
        <f>U67*IF(H67="Mensal",('Indicadores Financeiros'!$F$14-W67+1),IF(H67="Trimestral",INT(('Indicadores Financeiros'!$F$14-W67+1)/3),INT(('Indicadores Financeiros'!$F$14-W67+1)/12)))*K67</f>
        <v>249112.19999999998</v>
      </c>
      <c r="Y67" s="75"/>
      <c r="Z67" s="64">
        <f t="shared" si="16"/>
        <v>2725.45</v>
      </c>
      <c r="AA67" s="64">
        <f>ROUND('Indicadores Financeiros'!$J$71*$Z67,4)</f>
        <v>871.87149999999997</v>
      </c>
      <c r="AB67" s="25"/>
      <c r="AC67" s="23">
        <f t="shared" si="4"/>
        <v>395.42</v>
      </c>
      <c r="AD67" s="23">
        <f>ROUND((ROUND(VLOOKUP($E67,'Tabela de Códigos e Valores'!$A:$AB,26,FALSE)/I67,2)+ROUND(P67/I67,2)+ROUND(M67*'Indicadores Financeiros'!$J$61/I67,2)+ROUND(R67/I67,2))*(1+T67),2)</f>
        <v>104.75</v>
      </c>
      <c r="AE67" s="23">
        <f>IF(G67="posto",IF(OR(E67=690018,E67=690019),'Indicadores Financeiros'!$J$117,IF(OR(E67=690002,E67=690016,E67=690019,E67=690035,E67=690038,E67=690064),'Indicadores Financeiros'!$G$117/2*(1+T67),'Indicadores Financeiros'!$G$117*(1+T67))),0)</f>
        <v>0</v>
      </c>
      <c r="AF67" s="58"/>
      <c r="AG67" s="31"/>
      <c r="AH67" s="273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</row>
    <row r="68" spans="1:346" s="26" customFormat="1" ht="24" x14ac:dyDescent="0.25">
      <c r="A68" s="21">
        <v>2</v>
      </c>
      <c r="B68" s="21">
        <f>VLOOKUP($A68,'Indicadores Financeiros'!$A$145:$J$306,2,FALSE)</f>
        <v>13</v>
      </c>
      <c r="C68" s="22" t="str">
        <f>VLOOKUP($A68,'Indicadores Financeiros'!$A$145:$J$306,3,FALSE)</f>
        <v>Araraquara I - Fórum Principal</v>
      </c>
      <c r="D68" s="353" t="str">
        <f>VLOOKUP($B68,BIP!A:E,5,FALSE)</f>
        <v>Araraquara</v>
      </c>
      <c r="E68" s="73">
        <v>690058</v>
      </c>
      <c r="F68" s="7" t="str">
        <f>VLOOKUP($E68,'Tabela de Códigos e Valores'!$A:$M,2,FALSE)</f>
        <v>Serviço de limpeza - plantonista - (Agente de Higienização - 40%) - sábado - 8 horas/dia</v>
      </c>
      <c r="G68" s="7" t="str">
        <f>VLOOKUP($E68,'Tabela de Códigos e Valores'!$A:$M,5,FALSE)</f>
        <v>Plantão - Sábado</v>
      </c>
      <c r="H68" s="7" t="str">
        <f>VLOOKUP($E68,'Tabela de Códigos e Valores'!$A:$M,6,FALSE)</f>
        <v>Mensal</v>
      </c>
      <c r="I68" s="180">
        <f>VLOOKUP($E68,'Tabela de Códigos e Valores'!$A:$M,7,FALSE)</f>
        <v>5</v>
      </c>
      <c r="J68" s="180">
        <f>VLOOKUP($E68,'Tabela de Códigos e Valores'!$A:$M,8,FALSE)</f>
        <v>40</v>
      </c>
      <c r="K68" s="284">
        <v>1</v>
      </c>
      <c r="L68" s="193">
        <f>IFERROR(VLOOKUP(E68,'Indicadores Financeiros'!$A$90:$J$92,10,FALSE),0)</f>
        <v>0</v>
      </c>
      <c r="M68" s="180">
        <f>VLOOKUP($E68,'Tabela de Códigos e Valores'!$A:$Z,16,FALSE)</f>
        <v>634</v>
      </c>
      <c r="N68" s="180">
        <f>VLOOKUP($E68,'Tabela de Códigos e Valores'!$A:$Z,17,FALSE)</f>
        <v>494</v>
      </c>
      <c r="O68" s="180">
        <f>VLOOKUP($E68,'Tabela de Códigos e Valores'!$A:$AAB,28,FALSE)</f>
        <v>96.85</v>
      </c>
      <c r="P68" s="180">
        <f>ROUND(IF($G68&lt;&gt;"M2",IF(VLOOKUP($E68,'Tabela de Códigos e Valores'!$A:$J,10,FALSE)*6%&gt;=VLOOKUP('Relatório Custo'!$A68,'Indicadores Financeiros'!$A$145:$I$208,9,FALSE)*'Relatório Custo'!I68,0,VLOOKUP('Relatório Custo'!$A68,'Indicadores Financeiros'!$A$145:$I$208,9,FALSE)*'Relatório Custo'!I68-VLOOKUP($E68,'Tabela de Códigos e Valores'!$A:$J,10,FALSE)*6%),0),2)</f>
        <v>54.9</v>
      </c>
      <c r="Q68" s="180">
        <f>VLOOKUP($E68,'Tabela de Códigos e Valores'!$A:$AAC,30,FALSE)</f>
        <v>0</v>
      </c>
      <c r="R68" s="180">
        <f>ROUND(ROUND(($M68+$N68+$O68+$P68+$Q68),2)*VLOOKUP($E68,'Tabela de Códigos e Valores'!$A:$AE,31,FALSE)/(1-VLOOKUP($E68,'Tabela de Códigos e Valores'!$A:$AE,31,FALSE)),2)</f>
        <v>0</v>
      </c>
      <c r="S68" s="24">
        <f t="shared" ref="S68:S74" si="18">SUM(L68:R68)</f>
        <v>1279.75</v>
      </c>
      <c r="T68" s="182">
        <f>VLOOKUP($A68,'Indicadores Financeiros'!$A$145:$J$208,8,FALSE)</f>
        <v>0.29260000000000003</v>
      </c>
      <c r="U68" s="24">
        <f t="shared" si="14"/>
        <v>1654.2</v>
      </c>
      <c r="V68" s="32">
        <f t="shared" si="15"/>
        <v>1654.2</v>
      </c>
      <c r="W68" s="240">
        <f>VLOOKUP($A68,'Indicadores Financeiros'!$A$145:$J$208,10)</f>
        <v>1</v>
      </c>
      <c r="X68" s="64">
        <f>U68*IF(H68="Mensal",('Indicadores Financeiros'!$F$14-W68+1),IF(H68="Trimestral",INT(('Indicadores Financeiros'!$F$14-W68+1)/3),INT(('Indicadores Financeiros'!$F$14-W68+1)/12)))*K68</f>
        <v>49626</v>
      </c>
      <c r="Y68" s="75"/>
      <c r="Z68" s="64">
        <f t="shared" si="16"/>
        <v>0</v>
      </c>
      <c r="AA68" s="64">
        <f>ROUND('Indicadores Financeiros'!$J$71*$Z68,4)</f>
        <v>0</v>
      </c>
      <c r="AB68" s="25"/>
      <c r="AC68" s="23">
        <f t="shared" ref="AC68:AC69" si="19">ROUND(IF(OR($G68="Posto",$G68="Plantão - Dom/Fer",$G68="Plantão - Sábado",$G68="Plantão - Recesso"),$U68/$I68,0),2)</f>
        <v>330.84</v>
      </c>
      <c r="AD68" s="23">
        <f>ROUND((ROUND(VLOOKUP($E68,'Tabela de Códigos e Valores'!$A:$AB,26,FALSE)/I68,2)+ROUND(P68/I68,2)+ROUND(M68*'Indicadores Financeiros'!$J$61/I68,2)+ROUND(R68/I68,2))*(1+T68),2)</f>
        <v>64.989999999999995</v>
      </c>
      <c r="AE68" s="23">
        <f>IF(G68="posto",IF(OR(E68=690018,E68=690019),'Indicadores Financeiros'!$J$117,IF(OR(E68=690002,E68=690016,E68=690019,E68=690035,E68=690038,E68=690064),'Indicadores Financeiros'!$G$117/2*(1+T68),'Indicadores Financeiros'!$G$117*(1+T68))),0)</f>
        <v>0</v>
      </c>
      <c r="AF68" s="58"/>
      <c r="AG68" s="31"/>
      <c r="AH68" s="273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</row>
    <row r="69" spans="1:346" s="26" customFormat="1" ht="36" x14ac:dyDescent="0.25">
      <c r="A69" s="21">
        <v>2</v>
      </c>
      <c r="B69" s="21">
        <f>VLOOKUP($A69,'Indicadores Financeiros'!$A$145:$J$306,2,FALSE)</f>
        <v>13</v>
      </c>
      <c r="C69" s="22" t="str">
        <f>VLOOKUP($A69,'Indicadores Financeiros'!$A$145:$J$306,3,FALSE)</f>
        <v>Araraquara I - Fórum Principal</v>
      </c>
      <c r="D69" s="353" t="str">
        <f>VLOOKUP($B69,BIP!A:E,5,FALSE)</f>
        <v>Araraquara</v>
      </c>
      <c r="E69" s="73">
        <v>690059</v>
      </c>
      <c r="F69" s="7" t="str">
        <f>VLOOKUP($E69,'Tabela de Códigos e Valores'!$A:$M,2,FALSE)</f>
        <v>Serviço de limpeza - plantonista - (Agente de Higienização - 40%) - domingos e feriados - 8 horas/dia</v>
      </c>
      <c r="G69" s="7" t="str">
        <f>VLOOKUP($E69,'Tabela de Códigos e Valores'!$A:$M,5,FALSE)</f>
        <v>Plantão - Dom/Fer</v>
      </c>
      <c r="H69" s="7" t="str">
        <f>VLOOKUP($E69,'Tabela de Códigos e Valores'!$A:$M,6,FALSE)</f>
        <v>Mensal</v>
      </c>
      <c r="I69" s="180">
        <f>VLOOKUP($E69,'Tabela de Códigos e Valores'!$A:$M,7,FALSE)</f>
        <v>6</v>
      </c>
      <c r="J69" s="180">
        <f>VLOOKUP($E69,'Tabela de Códigos e Valores'!$A:$M,8,FALSE)</f>
        <v>48</v>
      </c>
      <c r="K69" s="284">
        <v>1</v>
      </c>
      <c r="L69" s="193">
        <f>IFERROR(VLOOKUP(E69,'Indicadores Financeiros'!$A$90:$J$92,10,FALSE),0)</f>
        <v>0</v>
      </c>
      <c r="M69" s="180">
        <f>VLOOKUP($E69,'Tabela de Códigos e Valores'!$A:$Z,16,FALSE)</f>
        <v>1014.24</v>
      </c>
      <c r="N69" s="180">
        <f>VLOOKUP($E69,'Tabela de Códigos e Valores'!$A:$Z,17,FALSE)</f>
        <v>790.08</v>
      </c>
      <c r="O69" s="180">
        <f>VLOOKUP($E69,'Tabela de Códigos e Valores'!$A:$AAB,28,FALSE)</f>
        <v>116.22</v>
      </c>
      <c r="P69" s="180">
        <f>ROUND(IF($G69&lt;&gt;"M2",IF(VLOOKUP($E69,'Tabela de Códigos e Valores'!$A:$J,10,FALSE)*6%&gt;=VLOOKUP('Relatório Custo'!$A69,'Indicadores Financeiros'!$A$145:$I$208,9,FALSE)*'Relatório Custo'!I69,0,VLOOKUP('Relatório Custo'!$A69,'Indicadores Financeiros'!$A$145:$I$208,9,FALSE)*'Relatório Custo'!I69-VLOOKUP($E69,'Tabela de Códigos e Valores'!$A:$J,10,FALSE)*6%),0),2)</f>
        <v>65.88</v>
      </c>
      <c r="Q69" s="180">
        <f>VLOOKUP($E69,'Tabela de Códigos e Valores'!$A:$AAC,30,FALSE)</f>
        <v>0</v>
      </c>
      <c r="R69" s="180">
        <f>ROUND(ROUND(($M69+$N69+$O69+$P69+$Q69),2)*VLOOKUP($E69,'Tabela de Códigos e Valores'!$A:$AE,31,FALSE)/(1-VLOOKUP($E69,'Tabela de Códigos e Valores'!$A:$AE,31,FALSE)),2)</f>
        <v>0</v>
      </c>
      <c r="S69" s="24">
        <f t="shared" si="18"/>
        <v>1986.42</v>
      </c>
      <c r="T69" s="182">
        <f>VLOOKUP($A69,'Indicadores Financeiros'!$A$145:$J$208,8,FALSE)</f>
        <v>0.29260000000000003</v>
      </c>
      <c r="U69" s="24">
        <f t="shared" si="14"/>
        <v>2567.65</v>
      </c>
      <c r="V69" s="32">
        <f t="shared" si="15"/>
        <v>2567.65</v>
      </c>
      <c r="W69" s="240">
        <f>VLOOKUP($A69,'Indicadores Financeiros'!$A$145:$J$208,10)</f>
        <v>1</v>
      </c>
      <c r="X69" s="64">
        <f>U69*IF(H69="Mensal",('Indicadores Financeiros'!$F$14-W69+1),IF(H69="Trimestral",INT(('Indicadores Financeiros'!$F$14-W69+1)/3),INT(('Indicadores Financeiros'!$F$14-W69+1)/12)))*K69</f>
        <v>77029.5</v>
      </c>
      <c r="Y69" s="75"/>
      <c r="Z69" s="64">
        <f t="shared" si="16"/>
        <v>0</v>
      </c>
      <c r="AA69" s="64">
        <f>ROUND('Indicadores Financeiros'!$J$71*$Z69,4)</f>
        <v>0</v>
      </c>
      <c r="AB69" s="25"/>
      <c r="AC69" s="23">
        <f t="shared" si="19"/>
        <v>427.94</v>
      </c>
      <c r="AD69" s="23">
        <f>ROUND((ROUND(VLOOKUP($E69,'Tabela de Códigos e Valores'!$A:$AB,26,FALSE)/I69,2)+ROUND(P69/I69,2)+ROUND(M69*'Indicadores Financeiros'!$J$61/I69,2)+ROUND(R69/I69,2))*(1+T69),2)</f>
        <v>73.569999999999993</v>
      </c>
      <c r="AE69" s="23">
        <f>IF(G69="posto",IF(OR(E69=690018,E69=690019),'Indicadores Financeiros'!$J$117,IF(OR(E69=690002,E69=690016,E69=690019,E69=690035,E69=690038,E69=690064),'Indicadores Financeiros'!$G$117/2*(1+T69),'Indicadores Financeiros'!$G$117*(1+T69))),0)</f>
        <v>0</v>
      </c>
      <c r="AF69" s="58"/>
      <c r="AG69" s="31"/>
      <c r="AH69" s="273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</row>
    <row r="70" spans="1:346" s="26" customFormat="1" ht="24" x14ac:dyDescent="0.25">
      <c r="A70" s="21">
        <v>2</v>
      </c>
      <c r="B70" s="21">
        <f>VLOOKUP($A70,'Indicadores Financeiros'!$A$145:$J$306,2,FALSE)</f>
        <v>13</v>
      </c>
      <c r="C70" s="22" t="str">
        <f>VLOOKUP($A70,'Indicadores Financeiros'!$A$145:$J$306,3,FALSE)</f>
        <v>Araraquara I - Fórum Principal</v>
      </c>
      <c r="D70" s="353" t="str">
        <f>VLOOKUP($B70,BIP!A:E,5,FALSE)</f>
        <v>Araraquara</v>
      </c>
      <c r="E70" s="73">
        <v>690062</v>
      </c>
      <c r="F70" s="7" t="str">
        <f>VLOOKUP($E70,'Tabela de Códigos e Valores'!$A:$M,2,FALSE)</f>
        <v>Agente de Higienização (Tempo Integral) - (40%) - 44 horas semanais - noturno</v>
      </c>
      <c r="G70" s="7" t="str">
        <f>VLOOKUP($E70,'Tabela de Códigos e Valores'!$A:$M,5,FALSE)</f>
        <v>Posto</v>
      </c>
      <c r="H70" s="7" t="str">
        <f>VLOOKUP($E70,'Tabela de Códigos e Valores'!$A:$M,6,FALSE)</f>
        <v>Mensal</v>
      </c>
      <c r="I70" s="180">
        <f>VLOOKUP($E70,'Tabela de Códigos e Valores'!$A:$M,7,FALSE)</f>
        <v>21</v>
      </c>
      <c r="J70" s="180">
        <f>VLOOKUP($E70,'Tabela de Códigos e Valores'!$A:$M,8,FALSE)</f>
        <v>0</v>
      </c>
      <c r="K70" s="284">
        <v>1</v>
      </c>
      <c r="L70" s="193">
        <f>IFERROR(VLOOKUP(E70,'Indicadores Financeiros'!$A$90:$J$92,10,FALSE),0)</f>
        <v>0</v>
      </c>
      <c r="M70" s="180">
        <f>VLOOKUP($E70,'Tabela de Códigos e Valores'!$A:$Z,16,FALSE)</f>
        <v>2818.8599999999997</v>
      </c>
      <c r="N70" s="180">
        <f>VLOOKUP($E70,'Tabela de Códigos e Valores'!$A:$Z,17,FALSE)</f>
        <v>2196.36</v>
      </c>
      <c r="O70" s="180">
        <f>VLOOKUP($E70,'Tabela de Códigos e Valores'!$A:$AAB,28,FALSE)</f>
        <v>635.36</v>
      </c>
      <c r="P70" s="180">
        <f>ROUND(IF($G70&lt;&gt;"M2",IF(VLOOKUP($E70,'Tabela de Códigos e Valores'!$A:$J,10,FALSE)*6%&gt;=VLOOKUP('Relatório Custo'!$A70,'Indicadores Financeiros'!$A$145:$I$208,9,FALSE)*'Relatório Custo'!I70,0,VLOOKUP('Relatório Custo'!$A70,'Indicadores Financeiros'!$A$145:$I$208,9,FALSE)*'Relatório Custo'!I70-VLOOKUP($E70,'Tabela de Códigos e Valores'!$A:$J,10,FALSE)*6%),0),2)</f>
        <v>127.55</v>
      </c>
      <c r="Q70" s="180">
        <f>VLOOKUP($E70,'Tabela de Códigos e Valores'!$A:$AAC,30,FALSE)</f>
        <v>62.81</v>
      </c>
      <c r="R70" s="180">
        <f>ROUND(ROUND(($M70+$N70+$O70+$P70+$Q70),2)*VLOOKUP($E70,'Tabela de Códigos e Valores'!$A:$AE,31,FALSE)/(1-VLOOKUP($E70,'Tabela de Códigos e Valores'!$A:$AE,31,FALSE)),2)</f>
        <v>796.49</v>
      </c>
      <c r="S70" s="24">
        <f t="shared" si="18"/>
        <v>6637.4299999999994</v>
      </c>
      <c r="T70" s="182">
        <f>VLOOKUP($A70,'Indicadores Financeiros'!$A$145:$J$208,8,FALSE)</f>
        <v>0.29260000000000003</v>
      </c>
      <c r="U70" s="24">
        <f t="shared" si="14"/>
        <v>8579.5400000000009</v>
      </c>
      <c r="V70" s="32">
        <f t="shared" si="15"/>
        <v>8579.5400000000009</v>
      </c>
      <c r="W70" s="240">
        <f>VLOOKUP($A70,'Indicadores Financeiros'!$A$145:$J$208,10)</f>
        <v>1</v>
      </c>
      <c r="X70" s="64">
        <f>U70*IF(H70="Mensal",('Indicadores Financeiros'!$F$14-W70+1),IF(H70="Trimestral",INT(('Indicadores Financeiros'!$F$14-W70+1)/3),INT(('Indicadores Financeiros'!$F$14-W70+1)/12)))*K70</f>
        <v>257386.2</v>
      </c>
      <c r="Y70" s="75"/>
      <c r="Z70" s="64">
        <f t="shared" si="16"/>
        <v>2818.8599999999997</v>
      </c>
      <c r="AA70" s="64">
        <f>ROUND('Indicadores Financeiros'!$J$71*$Z70,4)</f>
        <v>901.75329999999997</v>
      </c>
      <c r="AB70" s="25"/>
      <c r="AC70" s="23">
        <f t="shared" si="4"/>
        <v>408.55</v>
      </c>
      <c r="AD70" s="23">
        <f>ROUND((ROUND(VLOOKUP($E70,'Tabela de Códigos e Valores'!$A:$AB,26,FALSE)/I70,2)+ROUND(P70/I70,2)+ROUND(M70*'Indicadores Financeiros'!$J$61/I70,2)+ROUND(R70/I70,2))*(1+T70),2)</f>
        <v>109.19</v>
      </c>
      <c r="AE70" s="23">
        <f>IF(G70="posto",IF(OR(E70=690018,E70=690019),'Indicadores Financeiros'!$J$117,IF(OR(E70=690002,E70=690016,E70=690019,E70=690035,E70=690038,E70=690064),'Indicadores Financeiros'!$G$117/2*(1+T70),'Indicadores Financeiros'!$G$117*(1+T70))),0)</f>
        <v>0</v>
      </c>
      <c r="AF70" s="58"/>
      <c r="AG70" s="31"/>
      <c r="AH70" s="273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</row>
    <row r="71" spans="1:346" s="26" customFormat="1" ht="24" x14ac:dyDescent="0.25">
      <c r="A71" s="21">
        <v>2</v>
      </c>
      <c r="B71" s="21">
        <f>VLOOKUP($A71,'Indicadores Financeiros'!$A$145:$J$306,2,FALSE)</f>
        <v>13</v>
      </c>
      <c r="C71" s="22" t="str">
        <f>VLOOKUP($A71,'Indicadores Financeiros'!$A$145:$J$306,3,FALSE)</f>
        <v>Araraquara I - Fórum Principal</v>
      </c>
      <c r="D71" s="353" t="str">
        <f>VLOOKUP($B71,BIP!A:E,5,FALSE)</f>
        <v>Araraquara</v>
      </c>
      <c r="E71" s="73">
        <v>690063</v>
      </c>
      <c r="F71" s="7" t="str">
        <f>VLOOKUP($E71,'Tabela de Códigos e Valores'!$A:$M,2,FALSE)</f>
        <v xml:space="preserve">Auxiliar de Limpeza, com adicional de acúmulo de função - diurno - 44 horas semanais </v>
      </c>
      <c r="G71" s="7" t="str">
        <f>VLOOKUP($E71,'Tabela de Códigos e Valores'!$A:$M,5,FALSE)</f>
        <v>Posto</v>
      </c>
      <c r="H71" s="7" t="str">
        <f>VLOOKUP($E71,'Tabela de Códigos e Valores'!$A:$M,6,FALSE)</f>
        <v>Mensal</v>
      </c>
      <c r="I71" s="180">
        <f>VLOOKUP($E71,'Tabela de Códigos e Valores'!$A:$M,7,FALSE)</f>
        <v>21</v>
      </c>
      <c r="J71" s="180">
        <f>VLOOKUP($E71,'Tabela de Códigos e Valores'!$A:$M,8,FALSE)</f>
        <v>0</v>
      </c>
      <c r="K71" s="284">
        <v>1</v>
      </c>
      <c r="L71" s="193">
        <f>IFERROR(VLOOKUP(E71,'Indicadores Financeiros'!$A$90:$J$92,10,FALSE),0)</f>
        <v>0</v>
      </c>
      <c r="M71" s="180">
        <f>VLOOKUP($E71,'Tabela de Códigos e Valores'!$A:$Z,16,FALSE)</f>
        <v>2060.64</v>
      </c>
      <c r="N71" s="180">
        <f>VLOOKUP($E71,'Tabela de Códigos e Valores'!$A:$Z,17,FALSE)</f>
        <v>1605.58</v>
      </c>
      <c r="O71" s="180">
        <f>VLOOKUP($E71,'Tabela de Códigos e Valores'!$A:$AAB,28,FALSE)</f>
        <v>635.36</v>
      </c>
      <c r="P71" s="180">
        <f>ROUND(IF($G71&lt;&gt;"M2",IF(VLOOKUP($E71,'Tabela de Códigos e Valores'!$A:$J,10,FALSE)*6%&gt;=VLOOKUP('Relatório Custo'!$A71,'Indicadores Financeiros'!$A$145:$I$208,9,FALSE)*'Relatório Custo'!I71,0,VLOOKUP('Relatório Custo'!$A71,'Indicadores Financeiros'!$A$145:$I$208,9,FALSE)*'Relatório Custo'!I71-VLOOKUP($E71,'Tabela de Códigos e Valores'!$A:$J,10,FALSE)*6%),0),2)</f>
        <v>127.55</v>
      </c>
      <c r="Q71" s="180">
        <f>VLOOKUP($E71,'Tabela de Códigos e Valores'!$A:$AAC,30,FALSE)</f>
        <v>62.81</v>
      </c>
      <c r="R71" s="180">
        <f>ROUND(ROUND(($M71+$N71+$O71+$P71+$Q71),2)*VLOOKUP($E71,'Tabela de Códigos e Valores'!$A:$AE,31,FALSE)/(1-VLOOKUP($E71,'Tabela de Códigos e Valores'!$A:$AE,31,FALSE)),2)</f>
        <v>612.54</v>
      </c>
      <c r="S71" s="24">
        <f t="shared" si="18"/>
        <v>5104.4800000000005</v>
      </c>
      <c r="T71" s="182">
        <f>VLOOKUP($A71,'Indicadores Financeiros'!$A$145:$J$208,8,FALSE)</f>
        <v>0.29260000000000003</v>
      </c>
      <c r="U71" s="24">
        <f t="shared" si="14"/>
        <v>6598.05</v>
      </c>
      <c r="V71" s="32">
        <f t="shared" si="15"/>
        <v>6598.05</v>
      </c>
      <c r="W71" s="240">
        <f>VLOOKUP($A71,'Indicadores Financeiros'!$A$145:$J$208,10)</f>
        <v>1</v>
      </c>
      <c r="X71" s="64">
        <f>U71*IF(H71="Mensal",('Indicadores Financeiros'!$F$14-W71+1),IF(H71="Trimestral",INT(('Indicadores Financeiros'!$F$14-W71+1)/3),INT(('Indicadores Financeiros'!$F$14-W71+1)/12)))*K71</f>
        <v>197941.5</v>
      </c>
      <c r="Y71" s="75"/>
      <c r="Z71" s="64">
        <f t="shared" si="16"/>
        <v>2060.64</v>
      </c>
      <c r="AA71" s="64">
        <f>ROUND('Indicadores Financeiros'!$J$71*$Z71,4)</f>
        <v>659.19870000000003</v>
      </c>
      <c r="AB71" s="25"/>
      <c r="AC71" s="23">
        <f t="shared" si="4"/>
        <v>314.19</v>
      </c>
      <c r="AD71" s="23">
        <f>ROUND((ROUND(VLOOKUP($E71,'Tabela de Códigos e Valores'!$A:$AB,26,FALSE)/I71,2)+ROUND(P71/I71,2)+ROUND(M71*'Indicadores Financeiros'!$J$61/I71,2)+ROUND(R71/I71,2))*(1+T71),2)</f>
        <v>90.53</v>
      </c>
      <c r="AE71" s="23">
        <f>IF(G71="posto",IF(OR(E71=690018,E71=690019),'Indicadores Financeiros'!$J$117,IF(OR(E71=690002,E71=690016,E71=690019,E71=690035,E71=690038,E71=690064),'Indicadores Financeiros'!$G$117/2*(1+T71),'Indicadores Financeiros'!$G$117*(1+T71))),0)</f>
        <v>0</v>
      </c>
      <c r="AF71" s="58"/>
      <c r="AG71" s="31"/>
      <c r="AH71" s="273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</row>
    <row r="72" spans="1:346" s="26" customFormat="1" ht="24" x14ac:dyDescent="0.25">
      <c r="A72" s="21">
        <v>2</v>
      </c>
      <c r="B72" s="21">
        <f>VLOOKUP($A72,'Indicadores Financeiros'!$A$145:$J$306,2,FALSE)</f>
        <v>13</v>
      </c>
      <c r="C72" s="22" t="str">
        <f>VLOOKUP($A72,'Indicadores Financeiros'!$A$145:$J$306,3,FALSE)</f>
        <v>Araraquara I - Fórum Principal</v>
      </c>
      <c r="D72" s="353" t="str">
        <f>VLOOKUP($B72,BIP!A:E,5,FALSE)</f>
        <v>Araraquara</v>
      </c>
      <c r="E72" s="73">
        <v>690064</v>
      </c>
      <c r="F72" s="7" t="str">
        <f>VLOOKUP($E72,'Tabela de Códigos e Valores'!$A:$M,2,FALSE)</f>
        <v xml:space="preserve">Auxiliar de Limpeza, com adicional de acúmulo de função - diurno - 24 horas semanais </v>
      </c>
      <c r="G72" s="7" t="str">
        <f>VLOOKUP($E72,'Tabela de Códigos e Valores'!$A:$M,5,FALSE)</f>
        <v>Posto</v>
      </c>
      <c r="H72" s="7" t="str">
        <f>VLOOKUP($E72,'Tabela de Códigos e Valores'!$A:$M,6,FALSE)</f>
        <v>Mensal</v>
      </c>
      <c r="I72" s="180">
        <f>VLOOKUP($E72,'Tabela de Códigos e Valores'!$A:$M,7,FALSE)</f>
        <v>21</v>
      </c>
      <c r="J72" s="180">
        <f>VLOOKUP($E72,'Tabela de Códigos e Valores'!$A:$M,8,FALSE)</f>
        <v>0</v>
      </c>
      <c r="K72" s="284">
        <v>1</v>
      </c>
      <c r="L72" s="193">
        <f>IFERROR(VLOOKUP(E72,'Indicadores Financeiros'!$A$90:$J$92,10,FALSE),0)</f>
        <v>0</v>
      </c>
      <c r="M72" s="180">
        <f>VLOOKUP($E72,'Tabela de Códigos e Valores'!$A:$Z,16,FALSE)</f>
        <v>1236.3799999999999</v>
      </c>
      <c r="N72" s="180">
        <f>VLOOKUP($E72,'Tabela de Códigos e Valores'!$A:$Z,17,FALSE)</f>
        <v>963.34</v>
      </c>
      <c r="O72" s="180">
        <f>VLOOKUP($E72,'Tabela de Códigos e Valores'!$A:$AAB,28,FALSE)</f>
        <v>228.59</v>
      </c>
      <c r="P72" s="180">
        <f>ROUND(IF($G72&lt;&gt;"M2",IF(VLOOKUP($E72,'Tabela de Códigos e Valores'!$A:$J,10,FALSE)*6%&gt;=VLOOKUP('Relatório Custo'!$A72,'Indicadores Financeiros'!$A$145:$I$208,9,FALSE)*'Relatório Custo'!I72,0,VLOOKUP('Relatório Custo'!$A72,'Indicadores Financeiros'!$A$145:$I$208,9,FALSE)*'Relatório Custo'!I72-VLOOKUP($E72,'Tabela de Códigos e Valores'!$A:$J,10,FALSE)*6%),0),2)</f>
        <v>168.76</v>
      </c>
      <c r="Q72" s="180">
        <f>VLOOKUP($E72,'Tabela de Códigos e Valores'!$A:$AAC,30,FALSE)</f>
        <v>62.81</v>
      </c>
      <c r="R72" s="180">
        <f>ROUND(ROUND(($M72+$N72+$O72+$P72+$Q72),2)*VLOOKUP($E72,'Tabela de Códigos e Valores'!$A:$AE,31,FALSE)/(1-VLOOKUP($E72,'Tabela de Códigos e Valores'!$A:$AE,31,FALSE)),2)</f>
        <v>362.71</v>
      </c>
      <c r="S72" s="24">
        <f t="shared" si="18"/>
        <v>3022.5899999999997</v>
      </c>
      <c r="T72" s="182">
        <f>VLOOKUP($A72,'Indicadores Financeiros'!$A$145:$J$208,8,FALSE)</f>
        <v>0.29260000000000003</v>
      </c>
      <c r="U72" s="24">
        <f t="shared" si="14"/>
        <v>3907</v>
      </c>
      <c r="V72" s="32">
        <f t="shared" si="15"/>
        <v>3907</v>
      </c>
      <c r="W72" s="240">
        <f>VLOOKUP($A72,'Indicadores Financeiros'!$A$145:$J$208,10)</f>
        <v>1</v>
      </c>
      <c r="X72" s="64">
        <f>U72*IF(H72="Mensal",('Indicadores Financeiros'!$F$14-W72+1),IF(H72="Trimestral",INT(('Indicadores Financeiros'!$F$14-W72+1)/3),INT(('Indicadores Financeiros'!$F$14-W72+1)/12)))*K72</f>
        <v>117210</v>
      </c>
      <c r="Y72" s="75"/>
      <c r="Z72" s="64">
        <f t="shared" si="16"/>
        <v>1236.3799999999999</v>
      </c>
      <c r="AA72" s="64">
        <f>ROUND('Indicadores Financeiros'!$J$71*$Z72,4)</f>
        <v>395.51799999999997</v>
      </c>
      <c r="AB72" s="25"/>
      <c r="AC72" s="23">
        <f t="shared" si="4"/>
        <v>186.05</v>
      </c>
      <c r="AD72" s="23">
        <f>ROUND((ROUND(VLOOKUP($E72,'Tabela de Códigos e Valores'!$A:$AB,26,FALSE)/I72,2)+ROUND(P72/I72,2)+ROUND(M72*'Indicadores Financeiros'!$J$61/I72,2)+ROUND(R72/I72,2))*(1+T72),2)</f>
        <v>44.69</v>
      </c>
      <c r="AE72" s="23">
        <f>IF(G72="posto",IF(OR(E72=690018,E72=690019),'Indicadores Financeiros'!$J$117,IF(OR(E72=690002,E72=690016,E72=690019,E72=690035,E72=690038,E72=690064),'Indicadores Financeiros'!$G$117/2*(1+T72),'Indicadores Financeiros'!$G$117*(1+T72))),0)</f>
        <v>0</v>
      </c>
      <c r="AF72" s="58"/>
      <c r="AG72" s="31"/>
      <c r="AH72" s="273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</row>
    <row r="73" spans="1:346" s="26" customFormat="1" ht="24" x14ac:dyDescent="0.25">
      <c r="A73" s="21">
        <v>2</v>
      </c>
      <c r="B73" s="21">
        <f>VLOOKUP($A73,'Indicadores Financeiros'!$A$145:$J$306,2,FALSE)</f>
        <v>13</v>
      </c>
      <c r="C73" s="22" t="str">
        <f>VLOOKUP($A73,'Indicadores Financeiros'!$A$145:$J$306,3,FALSE)</f>
        <v>Araraquara I - Fórum Principal</v>
      </c>
      <c r="D73" s="353" t="str">
        <f>VLOOKUP($B73,BIP!A:E,5,FALSE)</f>
        <v>Araraquara</v>
      </c>
      <c r="E73" s="73">
        <v>690065</v>
      </c>
      <c r="F73" s="7" t="str">
        <f>VLOOKUP($E73,'Tabela de Códigos e Valores'!$A:$M,2,FALSE)</f>
        <v>Serviço de limpeza - plantonista - sábados (8 horas)</v>
      </c>
      <c r="G73" s="7" t="str">
        <f>VLOOKUP($E73,'Tabela de Códigos e Valores'!$A:$M,5,FALSE)</f>
        <v>Plantão - Sábado</v>
      </c>
      <c r="H73" s="7" t="str">
        <f>VLOOKUP($E73,'Tabela de Códigos e Valores'!$A:$M,6,FALSE)</f>
        <v>Mensal</v>
      </c>
      <c r="I73" s="180">
        <f>VLOOKUP($E73,'Tabela de Códigos e Valores'!$A:$M,7,FALSE)</f>
        <v>5</v>
      </c>
      <c r="J73" s="180">
        <f>VLOOKUP($E73,'Tabela de Códigos e Valores'!$A:$M,8,FALSE)</f>
        <v>40</v>
      </c>
      <c r="K73" s="284">
        <v>1</v>
      </c>
      <c r="L73" s="193">
        <f>IFERROR(VLOOKUP(E73,'Indicadores Financeiros'!$A$90:$J$92,10,FALSE),0)</f>
        <v>0</v>
      </c>
      <c r="M73" s="180">
        <f>VLOOKUP($E73,'Tabela de Códigos e Valores'!$A:$Z,16,FALSE)</f>
        <v>468.40000000000003</v>
      </c>
      <c r="N73" s="180">
        <f>VLOOKUP($E73,'Tabela de Códigos e Valores'!$A:$Z,17,FALSE)</f>
        <v>364.79999999999995</v>
      </c>
      <c r="O73" s="180">
        <f>VLOOKUP($E73,'Tabela de Códigos e Valores'!$A:$AAB,28,FALSE)</f>
        <v>96.85</v>
      </c>
      <c r="P73" s="180">
        <f>ROUND(IF($G73&lt;&gt;"M2",IF(VLOOKUP($E73,'Tabela de Códigos e Valores'!$A:$J,10,FALSE)*6%&gt;=VLOOKUP('Relatório Custo'!$A73,'Indicadores Financeiros'!$A$145:$I$208,9,FALSE)*'Relatório Custo'!I73,0,VLOOKUP('Relatório Custo'!$A73,'Indicadores Financeiros'!$A$145:$I$208,9,FALSE)*'Relatório Custo'!I73-VLOOKUP($E73,'Tabela de Códigos e Valores'!$A:$J,10,FALSE)*6%),0),2)</f>
        <v>54.9</v>
      </c>
      <c r="Q73" s="180">
        <f>VLOOKUP($E73,'Tabela de Códigos e Valores'!$A:$AAC,30,FALSE)</f>
        <v>0</v>
      </c>
      <c r="R73" s="180">
        <f>ROUND(ROUND(($M73+$N73+$O73+$P73+$Q73),2)*VLOOKUP($E73,'Tabela de Códigos e Valores'!$A:$AE,31,FALSE)/(1-VLOOKUP($E73,'Tabela de Códigos e Valores'!$A:$AE,31,FALSE)),2)</f>
        <v>0</v>
      </c>
      <c r="S73" s="24">
        <f t="shared" si="18"/>
        <v>984.95</v>
      </c>
      <c r="T73" s="182">
        <f>VLOOKUP($A73,'Indicadores Financeiros'!$A$145:$J$208,8,FALSE)</f>
        <v>0.29260000000000003</v>
      </c>
      <c r="U73" s="24">
        <f t="shared" si="14"/>
        <v>1273.1500000000001</v>
      </c>
      <c r="V73" s="32">
        <f t="shared" si="15"/>
        <v>1273.1500000000001</v>
      </c>
      <c r="W73" s="240">
        <f>VLOOKUP($A73,'Indicadores Financeiros'!$A$145:$J$208,10)</f>
        <v>1</v>
      </c>
      <c r="X73" s="64">
        <f>U73*IF(H73="Mensal",('Indicadores Financeiros'!$F$14-W73+1),IF(H73="Trimestral",INT(('Indicadores Financeiros'!$F$14-W73+1)/3),INT(('Indicadores Financeiros'!$F$14-W73+1)/12)))*K73</f>
        <v>38194.5</v>
      </c>
      <c r="Y73" s="75"/>
      <c r="Z73" s="64">
        <f t="shared" si="16"/>
        <v>0</v>
      </c>
      <c r="AA73" s="64">
        <f>ROUND('Indicadores Financeiros'!$J$71*$Z73,4)</f>
        <v>0</v>
      </c>
      <c r="AB73" s="25"/>
      <c r="AC73" s="23">
        <f t="shared" ref="AC73:AC74" si="20">ROUND(IF(OR($G73="Posto",$G73="Plantão - Dom/Fer",$G73="Plantão - Sábado",$G73="Plantão - Recesso"),$U73/$I73,0),2)</f>
        <v>254.63</v>
      </c>
      <c r="AD73" s="23">
        <f>ROUND((ROUND(VLOOKUP($E73,'Tabela de Códigos e Valores'!$A:$AB,26,FALSE)/I73,2)+ROUND(P73/I73,2)+ROUND(M73*'Indicadores Financeiros'!$J$61/I73,2)+ROUND(R73/I73,2))*(1+T73),2)</f>
        <v>58.27</v>
      </c>
      <c r="AE73" s="23">
        <f>IF(G73="posto",IF(OR(E73=690018,E73=690019),'Indicadores Financeiros'!$J$117,IF(OR(E73=690002,E73=690016,E73=690019,E73=690035,E73=690038,E73=690064),'Indicadores Financeiros'!$G$117/2*(1+T73),'Indicadores Financeiros'!$G$117*(1+T73))),0)</f>
        <v>0</v>
      </c>
      <c r="AF73" s="153"/>
      <c r="AG73" s="154"/>
      <c r="AH73" s="273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</row>
    <row r="74" spans="1:346" s="26" customFormat="1" ht="24" x14ac:dyDescent="0.25">
      <c r="A74" s="21">
        <v>2</v>
      </c>
      <c r="B74" s="21">
        <f>VLOOKUP($A74,'Indicadores Financeiros'!$A$145:$J$306,2,FALSE)</f>
        <v>13</v>
      </c>
      <c r="C74" s="22" t="str">
        <f>VLOOKUP($A74,'Indicadores Financeiros'!$A$145:$J$306,3,FALSE)</f>
        <v>Araraquara I - Fórum Principal</v>
      </c>
      <c r="D74" s="353" t="str">
        <f>VLOOKUP($B74,BIP!A:E,5,FALSE)</f>
        <v>Araraquara</v>
      </c>
      <c r="E74" s="73">
        <v>690066</v>
      </c>
      <c r="F74" s="7" t="str">
        <f>VLOOKUP($E74,'Tabela de Códigos e Valores'!$A:$M,2,FALSE)</f>
        <v>Serviço de limpeza - plantonista - domingos (8 horas)</v>
      </c>
      <c r="G74" s="7" t="str">
        <f>VLOOKUP($E74,'Tabela de Códigos e Valores'!$A:$M,5,FALSE)</f>
        <v>Plantão - Dom/Fer</v>
      </c>
      <c r="H74" s="7" t="str">
        <f>VLOOKUP($E74,'Tabela de Códigos e Valores'!$A:$M,6,FALSE)</f>
        <v>Mensal</v>
      </c>
      <c r="I74" s="180">
        <f>VLOOKUP($E74,'Tabela de Códigos e Valores'!$A:$M,7,FALSE)</f>
        <v>5</v>
      </c>
      <c r="J74" s="180">
        <f>VLOOKUP($E74,'Tabela de Códigos e Valores'!$A:$M,8,FALSE)</f>
        <v>40</v>
      </c>
      <c r="K74" s="284">
        <v>1</v>
      </c>
      <c r="L74" s="193">
        <f>IFERROR(VLOOKUP(E74,'Indicadores Financeiros'!$A$90:$J$92,10,FALSE),0)</f>
        <v>0</v>
      </c>
      <c r="M74" s="180">
        <f>VLOOKUP($E74,'Tabela de Códigos e Valores'!$A:$Z,16,FALSE)</f>
        <v>624.4</v>
      </c>
      <c r="N74" s="180">
        <f>VLOOKUP($E74,'Tabela de Códigos e Valores'!$A:$Z,17,FALSE)</f>
        <v>486.4</v>
      </c>
      <c r="O74" s="180">
        <f>VLOOKUP($E74,'Tabela de Códigos e Valores'!$A:$AAB,28,FALSE)</f>
        <v>96.85</v>
      </c>
      <c r="P74" s="180">
        <f>ROUND(IF($G74&lt;&gt;"M2",IF(VLOOKUP($E74,'Tabela de Códigos e Valores'!$A:$J,10,FALSE)*6%&gt;=VLOOKUP('Relatório Custo'!$A74,'Indicadores Financeiros'!$A$145:$I$208,9,FALSE)*'Relatório Custo'!I74,0,VLOOKUP('Relatório Custo'!$A74,'Indicadores Financeiros'!$A$145:$I$208,9,FALSE)*'Relatório Custo'!I74-VLOOKUP($E74,'Tabela de Códigos e Valores'!$A:$J,10,FALSE)*6%),0),2)</f>
        <v>54.9</v>
      </c>
      <c r="Q74" s="180">
        <f>VLOOKUP($E74,'Tabela de Códigos e Valores'!$A:$AAC,30,FALSE)</f>
        <v>0</v>
      </c>
      <c r="R74" s="180">
        <f>ROUND(ROUND(($M74+$N74+$O74+$P74+$Q74),2)*VLOOKUP($E74,'Tabela de Códigos e Valores'!$A:$AE,31,FALSE)/(1-VLOOKUP($E74,'Tabela de Códigos e Valores'!$A:$AE,31,FALSE)),2)</f>
        <v>0</v>
      </c>
      <c r="S74" s="24">
        <f t="shared" si="18"/>
        <v>1262.55</v>
      </c>
      <c r="T74" s="182">
        <f>VLOOKUP($A74,'Indicadores Financeiros'!$A$145:$J$208,8,FALSE)</f>
        <v>0.29260000000000003</v>
      </c>
      <c r="U74" s="24">
        <f t="shared" si="14"/>
        <v>1631.97</v>
      </c>
      <c r="V74" s="32">
        <f t="shared" si="15"/>
        <v>1631.97</v>
      </c>
      <c r="W74" s="240">
        <f>VLOOKUP($A74,'Indicadores Financeiros'!$A$145:$J$208,10)</f>
        <v>1</v>
      </c>
      <c r="X74" s="64">
        <f>U74*IF(H74="Mensal",('Indicadores Financeiros'!$F$14-W74+1),IF(H74="Trimestral",INT(('Indicadores Financeiros'!$F$14-W74+1)/3),INT(('Indicadores Financeiros'!$F$14-W74+1)/12)))*K74</f>
        <v>48959.1</v>
      </c>
      <c r="Y74" s="75"/>
      <c r="Z74" s="64">
        <f t="shared" si="16"/>
        <v>0</v>
      </c>
      <c r="AA74" s="64">
        <f>ROUND('Indicadores Financeiros'!$J$71*$Z74,4)</f>
        <v>0</v>
      </c>
      <c r="AB74" s="25"/>
      <c r="AC74" s="23">
        <f t="shared" si="20"/>
        <v>326.39</v>
      </c>
      <c r="AD74" s="23">
        <f>ROUND((ROUND(VLOOKUP($E74,'Tabela de Códigos e Valores'!$A:$AB,26,FALSE)/I74,2)+ROUND(P74/I74,2)+ROUND(M74*'Indicadores Financeiros'!$J$61/I74,2)+ROUND(R74/I74,2))*(1+T74),2)</f>
        <v>64.599999999999994</v>
      </c>
      <c r="AE74" s="23">
        <f>IF(G74="posto",IF(OR(E74=690018,E74=690019),'Indicadores Financeiros'!$J$117,IF(OR(E74=690002,E74=690016,E74=690019,E74=690035,E74=690038,E74=690064),'Indicadores Financeiros'!$G$117/2*(1+T74),'Indicadores Financeiros'!$G$117*(1+T74))),0)</f>
        <v>0</v>
      </c>
      <c r="AF74" s="335"/>
      <c r="AG74" s="336"/>
      <c r="AH74" s="334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</row>
    <row r="75" spans="1:346" s="26" customFormat="1" ht="12" hidden="1" customHeight="1" x14ac:dyDescent="0.25">
      <c r="A75" s="21"/>
      <c r="B75" s="21"/>
      <c r="C75" s="22"/>
      <c r="D75" s="353"/>
      <c r="E75" s="73"/>
      <c r="F75" s="7"/>
      <c r="G75" s="7"/>
      <c r="H75" s="7"/>
      <c r="I75" s="180"/>
      <c r="J75" s="180"/>
      <c r="K75" s="284"/>
      <c r="L75" s="193"/>
      <c r="M75" s="180"/>
      <c r="N75" s="180"/>
      <c r="O75" s="180"/>
      <c r="P75" s="180"/>
      <c r="Q75" s="180"/>
      <c r="R75" s="180"/>
      <c r="S75" s="24"/>
      <c r="T75" s="182"/>
      <c r="U75" s="24"/>
      <c r="V75" s="32"/>
      <c r="W75" s="240"/>
      <c r="X75" s="64"/>
      <c r="Y75" s="75"/>
      <c r="Z75" s="64"/>
      <c r="AA75" s="64"/>
      <c r="AB75" s="25"/>
      <c r="AC75" s="23"/>
      <c r="AD75" s="23"/>
      <c r="AE75" s="23"/>
      <c r="AF75" s="335"/>
      <c r="AG75" s="336"/>
      <c r="AH75" s="334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</row>
    <row r="76" spans="1:346" s="26" customFormat="1" ht="12" hidden="1" customHeight="1" x14ac:dyDescent="0.25">
      <c r="A76" s="21"/>
      <c r="B76" s="21"/>
      <c r="C76" s="22"/>
      <c r="D76" s="353"/>
      <c r="E76" s="73"/>
      <c r="F76" s="7"/>
      <c r="G76" s="7"/>
      <c r="H76" s="7"/>
      <c r="I76" s="180"/>
      <c r="J76" s="180"/>
      <c r="K76" s="284"/>
      <c r="L76" s="193"/>
      <c r="M76" s="180"/>
      <c r="N76" s="180"/>
      <c r="O76" s="180"/>
      <c r="P76" s="180"/>
      <c r="Q76" s="180"/>
      <c r="R76" s="180"/>
      <c r="S76" s="24"/>
      <c r="T76" s="182"/>
      <c r="U76" s="24"/>
      <c r="V76" s="32"/>
      <c r="W76" s="240"/>
      <c r="X76" s="64"/>
      <c r="Y76" s="75"/>
      <c r="Z76" s="64"/>
      <c r="AA76" s="64"/>
      <c r="AB76" s="25"/>
      <c r="AC76" s="23"/>
      <c r="AD76" s="23"/>
      <c r="AE76" s="23"/>
      <c r="AF76" s="335"/>
      <c r="AG76" s="336"/>
      <c r="AH76" s="334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</row>
    <row r="77" spans="1:346" s="26" customFormat="1" ht="12" hidden="1" customHeight="1" x14ac:dyDescent="0.25">
      <c r="A77" s="21"/>
      <c r="B77" s="21"/>
      <c r="C77" s="22"/>
      <c r="D77" s="353"/>
      <c r="E77" s="73"/>
      <c r="F77" s="7"/>
      <c r="G77" s="7"/>
      <c r="H77" s="7"/>
      <c r="I77" s="180"/>
      <c r="J77" s="180"/>
      <c r="K77" s="284"/>
      <c r="L77" s="193"/>
      <c r="M77" s="180"/>
      <c r="N77" s="180"/>
      <c r="O77" s="180"/>
      <c r="P77" s="180"/>
      <c r="Q77" s="180"/>
      <c r="R77" s="180"/>
      <c r="S77" s="24"/>
      <c r="T77" s="182"/>
      <c r="U77" s="24"/>
      <c r="V77" s="32"/>
      <c r="W77" s="240"/>
      <c r="X77" s="64"/>
      <c r="Y77" s="75"/>
      <c r="Z77" s="64"/>
      <c r="AA77" s="64"/>
      <c r="AB77" s="25"/>
      <c r="AC77" s="23"/>
      <c r="AD77" s="23"/>
      <c r="AE77" s="23"/>
      <c r="AF77" s="335"/>
      <c r="AG77" s="336"/>
      <c r="AH77" s="334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</row>
    <row r="78" spans="1:346" s="26" customFormat="1" ht="12" hidden="1" customHeight="1" x14ac:dyDescent="0.25">
      <c r="A78" s="21"/>
      <c r="B78" s="21"/>
      <c r="C78" s="22"/>
      <c r="D78" s="353"/>
      <c r="E78" s="73"/>
      <c r="F78" s="7"/>
      <c r="G78" s="7"/>
      <c r="H78" s="7"/>
      <c r="I78" s="180"/>
      <c r="J78" s="180"/>
      <c r="K78" s="284"/>
      <c r="L78" s="193"/>
      <c r="M78" s="180"/>
      <c r="N78" s="180"/>
      <c r="O78" s="180"/>
      <c r="P78" s="180"/>
      <c r="Q78" s="180"/>
      <c r="R78" s="180"/>
      <c r="S78" s="24"/>
      <c r="T78" s="182"/>
      <c r="U78" s="24"/>
      <c r="V78" s="32"/>
      <c r="W78" s="240"/>
      <c r="X78" s="64"/>
      <c r="Y78" s="75"/>
      <c r="Z78" s="64"/>
      <c r="AA78" s="64"/>
      <c r="AB78" s="25"/>
      <c r="AC78" s="23"/>
      <c r="AD78" s="23"/>
      <c r="AE78" s="23"/>
      <c r="AF78" s="335"/>
      <c r="AG78" s="336"/>
      <c r="AH78" s="334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</row>
    <row r="79" spans="1:346" s="26" customFormat="1" ht="12" hidden="1" customHeight="1" x14ac:dyDescent="0.25">
      <c r="A79" s="21"/>
      <c r="B79" s="21"/>
      <c r="C79" s="22"/>
      <c r="D79" s="353"/>
      <c r="E79" s="73"/>
      <c r="F79" s="7"/>
      <c r="G79" s="7"/>
      <c r="H79" s="7"/>
      <c r="I79" s="180"/>
      <c r="J79" s="180"/>
      <c r="K79" s="284"/>
      <c r="L79" s="193"/>
      <c r="M79" s="180"/>
      <c r="N79" s="180"/>
      <c r="O79" s="180"/>
      <c r="P79" s="180"/>
      <c r="Q79" s="180"/>
      <c r="R79" s="180"/>
      <c r="S79" s="24"/>
      <c r="T79" s="182"/>
      <c r="U79" s="24"/>
      <c r="V79" s="32"/>
      <c r="W79" s="240"/>
      <c r="X79" s="64"/>
      <c r="Y79" s="75"/>
      <c r="Z79" s="64"/>
      <c r="AA79" s="64"/>
      <c r="AB79" s="25"/>
      <c r="AC79" s="23"/>
      <c r="AD79" s="23"/>
      <c r="AE79" s="23"/>
      <c r="AF79" s="335"/>
      <c r="AG79" s="336"/>
      <c r="AH79" s="334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</row>
    <row r="80" spans="1:346" s="26" customFormat="1" ht="12" hidden="1" customHeight="1" x14ac:dyDescent="0.25">
      <c r="A80" s="21"/>
      <c r="B80" s="21"/>
      <c r="C80" s="22"/>
      <c r="D80" s="353"/>
      <c r="E80" s="73"/>
      <c r="F80" s="7"/>
      <c r="G80" s="7"/>
      <c r="H80" s="7"/>
      <c r="I80" s="180"/>
      <c r="J80" s="180"/>
      <c r="K80" s="284"/>
      <c r="L80" s="193"/>
      <c r="M80" s="180"/>
      <c r="N80" s="180"/>
      <c r="O80" s="180"/>
      <c r="P80" s="180"/>
      <c r="Q80" s="180"/>
      <c r="R80" s="180"/>
      <c r="S80" s="24"/>
      <c r="T80" s="182"/>
      <c r="U80" s="24"/>
      <c r="V80" s="32"/>
      <c r="W80" s="240"/>
      <c r="X80" s="64"/>
      <c r="Y80" s="75"/>
      <c r="Z80" s="64"/>
      <c r="AA80" s="64"/>
      <c r="AB80" s="25"/>
      <c r="AC80" s="23"/>
      <c r="AD80" s="23"/>
      <c r="AE80" s="23"/>
      <c r="AF80" s="335"/>
      <c r="AG80" s="336"/>
      <c r="AH80" s="334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</row>
    <row r="81" spans="1:346" s="26" customFormat="1" ht="12" hidden="1" customHeight="1" x14ac:dyDescent="0.25">
      <c r="A81" s="21"/>
      <c r="B81" s="21"/>
      <c r="C81" s="22"/>
      <c r="D81" s="353"/>
      <c r="E81" s="73"/>
      <c r="F81" s="7"/>
      <c r="G81" s="7"/>
      <c r="H81" s="7"/>
      <c r="I81" s="180"/>
      <c r="J81" s="180"/>
      <c r="K81" s="284"/>
      <c r="L81" s="193"/>
      <c r="M81" s="180"/>
      <c r="N81" s="180"/>
      <c r="O81" s="180"/>
      <c r="P81" s="180"/>
      <c r="Q81" s="180"/>
      <c r="R81" s="180"/>
      <c r="S81" s="24"/>
      <c r="T81" s="182"/>
      <c r="U81" s="24"/>
      <c r="V81" s="32"/>
      <c r="W81" s="240"/>
      <c r="X81" s="64"/>
      <c r="Y81" s="75"/>
      <c r="Z81" s="64"/>
      <c r="AA81" s="64"/>
      <c r="AB81" s="25"/>
      <c r="AC81" s="23"/>
      <c r="AD81" s="23"/>
      <c r="AE81" s="23"/>
      <c r="AF81" s="335"/>
      <c r="AG81" s="336"/>
      <c r="AH81" s="334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</row>
    <row r="82" spans="1:346" s="26" customFormat="1" ht="12" hidden="1" customHeight="1" x14ac:dyDescent="0.25">
      <c r="A82" s="21"/>
      <c r="B82" s="21"/>
      <c r="C82" s="22"/>
      <c r="D82" s="353"/>
      <c r="E82" s="73"/>
      <c r="F82" s="7"/>
      <c r="G82" s="7"/>
      <c r="H82" s="7"/>
      <c r="I82" s="180"/>
      <c r="J82" s="180"/>
      <c r="K82" s="284"/>
      <c r="L82" s="193"/>
      <c r="M82" s="180"/>
      <c r="N82" s="180"/>
      <c r="O82" s="180"/>
      <c r="P82" s="180"/>
      <c r="Q82" s="180"/>
      <c r="R82" s="180"/>
      <c r="S82" s="24"/>
      <c r="T82" s="182"/>
      <c r="U82" s="24"/>
      <c r="V82" s="32"/>
      <c r="W82" s="240"/>
      <c r="X82" s="64"/>
      <c r="Y82" s="75"/>
      <c r="Z82" s="64"/>
      <c r="AA82" s="64"/>
      <c r="AB82" s="25"/>
      <c r="AC82" s="23"/>
      <c r="AD82" s="23"/>
      <c r="AE82" s="23"/>
      <c r="AF82" s="335"/>
      <c r="AG82" s="336"/>
      <c r="AH82" s="334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</row>
    <row r="83" spans="1:346" s="26" customFormat="1" ht="12" hidden="1" customHeight="1" x14ac:dyDescent="0.25">
      <c r="A83" s="21"/>
      <c r="B83" s="21"/>
      <c r="C83" s="22"/>
      <c r="D83" s="353"/>
      <c r="E83" s="73"/>
      <c r="F83" s="7"/>
      <c r="G83" s="7"/>
      <c r="H83" s="7"/>
      <c r="I83" s="180"/>
      <c r="J83" s="180"/>
      <c r="K83" s="284"/>
      <c r="L83" s="193"/>
      <c r="M83" s="180"/>
      <c r="N83" s="180"/>
      <c r="O83" s="180"/>
      <c r="P83" s="180"/>
      <c r="Q83" s="180"/>
      <c r="R83" s="180"/>
      <c r="S83" s="24"/>
      <c r="T83" s="182"/>
      <c r="U83" s="24"/>
      <c r="V83" s="32"/>
      <c r="W83" s="240"/>
      <c r="X83" s="64"/>
      <c r="Y83" s="75"/>
      <c r="Z83" s="64"/>
      <c r="AA83" s="64"/>
      <c r="AB83" s="25"/>
      <c r="AC83" s="23"/>
      <c r="AD83" s="23"/>
      <c r="AE83" s="23"/>
      <c r="AF83" s="335"/>
      <c r="AG83" s="336"/>
      <c r="AH83" s="334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</row>
    <row r="84" spans="1:346" s="26" customFormat="1" ht="12" hidden="1" customHeight="1" x14ac:dyDescent="0.25">
      <c r="A84" s="21"/>
      <c r="B84" s="21"/>
      <c r="C84" s="22"/>
      <c r="D84" s="353"/>
      <c r="E84" s="73"/>
      <c r="F84" s="7"/>
      <c r="G84" s="7"/>
      <c r="H84" s="7"/>
      <c r="I84" s="180"/>
      <c r="J84" s="180"/>
      <c r="K84" s="284"/>
      <c r="L84" s="193"/>
      <c r="M84" s="180"/>
      <c r="N84" s="180"/>
      <c r="O84" s="180"/>
      <c r="P84" s="180"/>
      <c r="Q84" s="180"/>
      <c r="R84" s="180"/>
      <c r="S84" s="24"/>
      <c r="T84" s="182"/>
      <c r="U84" s="24"/>
      <c r="V84" s="32"/>
      <c r="W84" s="240"/>
      <c r="X84" s="64"/>
      <c r="Y84" s="75"/>
      <c r="Z84" s="64"/>
      <c r="AA84" s="64"/>
      <c r="AB84" s="25"/>
      <c r="AC84" s="23"/>
      <c r="AD84" s="23"/>
      <c r="AE84" s="23"/>
      <c r="AF84" s="335"/>
      <c r="AG84" s="336"/>
      <c r="AH84" s="334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</row>
    <row r="85" spans="1:346" s="26" customFormat="1" ht="12" hidden="1" customHeight="1" x14ac:dyDescent="0.25">
      <c r="A85" s="21"/>
      <c r="B85" s="21"/>
      <c r="C85" s="22"/>
      <c r="D85" s="353"/>
      <c r="E85" s="73"/>
      <c r="F85" s="7"/>
      <c r="G85" s="7"/>
      <c r="H85" s="7"/>
      <c r="I85" s="180"/>
      <c r="J85" s="180"/>
      <c r="K85" s="284"/>
      <c r="L85" s="193"/>
      <c r="M85" s="180"/>
      <c r="N85" s="180"/>
      <c r="O85" s="180"/>
      <c r="P85" s="180"/>
      <c r="Q85" s="180"/>
      <c r="R85" s="180"/>
      <c r="S85" s="24"/>
      <c r="T85" s="182"/>
      <c r="U85" s="24"/>
      <c r="V85" s="32"/>
      <c r="W85" s="240"/>
      <c r="X85" s="64"/>
      <c r="Y85" s="75"/>
      <c r="Z85" s="64"/>
      <c r="AA85" s="64"/>
      <c r="AB85" s="25"/>
      <c r="AC85" s="23"/>
      <c r="AD85" s="23"/>
      <c r="AE85" s="23"/>
      <c r="AF85" s="335"/>
      <c r="AG85" s="336"/>
      <c r="AH85" s="334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</row>
    <row r="86" spans="1:346" s="26" customFormat="1" ht="12" hidden="1" customHeight="1" x14ac:dyDescent="0.25">
      <c r="A86" s="21"/>
      <c r="B86" s="21"/>
      <c r="C86" s="22"/>
      <c r="D86" s="353"/>
      <c r="E86" s="73"/>
      <c r="F86" s="7"/>
      <c r="G86" s="7"/>
      <c r="H86" s="7"/>
      <c r="I86" s="180"/>
      <c r="J86" s="180"/>
      <c r="K86" s="284"/>
      <c r="L86" s="193"/>
      <c r="M86" s="180"/>
      <c r="N86" s="180"/>
      <c r="O86" s="180"/>
      <c r="P86" s="180"/>
      <c r="Q86" s="180"/>
      <c r="R86" s="180"/>
      <c r="S86" s="24"/>
      <c r="T86" s="182"/>
      <c r="U86" s="24"/>
      <c r="V86" s="32"/>
      <c r="W86" s="240"/>
      <c r="X86" s="64"/>
      <c r="Y86" s="75"/>
      <c r="Z86" s="64"/>
      <c r="AA86" s="64"/>
      <c r="AB86" s="25"/>
      <c r="AC86" s="23"/>
      <c r="AD86" s="23"/>
      <c r="AE86" s="23"/>
      <c r="AF86" s="335"/>
      <c r="AG86" s="336"/>
      <c r="AH86" s="334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</row>
    <row r="87" spans="1:346" s="26" customFormat="1" ht="12" hidden="1" customHeight="1" x14ac:dyDescent="0.25">
      <c r="A87" s="21"/>
      <c r="B87" s="21"/>
      <c r="C87" s="22"/>
      <c r="D87" s="353"/>
      <c r="E87" s="73"/>
      <c r="F87" s="7"/>
      <c r="G87" s="7"/>
      <c r="H87" s="7"/>
      <c r="I87" s="180"/>
      <c r="J87" s="180"/>
      <c r="K87" s="284"/>
      <c r="L87" s="193"/>
      <c r="M87" s="180"/>
      <c r="N87" s="180"/>
      <c r="O87" s="180"/>
      <c r="P87" s="180"/>
      <c r="Q87" s="180"/>
      <c r="R87" s="180"/>
      <c r="S87" s="24"/>
      <c r="T87" s="182"/>
      <c r="U87" s="24"/>
      <c r="V87" s="32"/>
      <c r="W87" s="240"/>
      <c r="X87" s="64"/>
      <c r="Y87" s="75"/>
      <c r="Z87" s="64"/>
      <c r="AA87" s="64"/>
      <c r="AB87" s="25"/>
      <c r="AC87" s="23"/>
      <c r="AD87" s="23"/>
      <c r="AE87" s="23"/>
      <c r="AF87" s="335"/>
      <c r="AG87" s="336"/>
      <c r="AH87" s="334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</row>
    <row r="88" spans="1:346" s="26" customFormat="1" ht="12" hidden="1" customHeight="1" x14ac:dyDescent="0.25">
      <c r="A88" s="21"/>
      <c r="B88" s="21"/>
      <c r="C88" s="22"/>
      <c r="D88" s="353"/>
      <c r="E88" s="73"/>
      <c r="F88" s="7"/>
      <c r="G88" s="7"/>
      <c r="H88" s="7"/>
      <c r="I88" s="180"/>
      <c r="J88" s="180"/>
      <c r="K88" s="284"/>
      <c r="L88" s="193"/>
      <c r="M88" s="180"/>
      <c r="N88" s="180"/>
      <c r="O88" s="180"/>
      <c r="P88" s="180"/>
      <c r="Q88" s="180"/>
      <c r="R88" s="180"/>
      <c r="S88" s="24"/>
      <c r="T88" s="182"/>
      <c r="U88" s="24"/>
      <c r="V88" s="32"/>
      <c r="W88" s="240"/>
      <c r="X88" s="64"/>
      <c r="Y88" s="75"/>
      <c r="Z88" s="64"/>
      <c r="AA88" s="64"/>
      <c r="AB88" s="25"/>
      <c r="AC88" s="23"/>
      <c r="AD88" s="23"/>
      <c r="AE88" s="23"/>
      <c r="AF88" s="335"/>
      <c r="AG88" s="336"/>
      <c r="AH88" s="334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</row>
    <row r="89" spans="1:346" s="26" customFormat="1" ht="12" hidden="1" customHeight="1" x14ac:dyDescent="0.25">
      <c r="A89" s="21"/>
      <c r="B89" s="21"/>
      <c r="C89" s="22"/>
      <c r="D89" s="353"/>
      <c r="E89" s="73"/>
      <c r="F89" s="7"/>
      <c r="G89" s="7"/>
      <c r="H89" s="7"/>
      <c r="I89" s="180"/>
      <c r="J89" s="180"/>
      <c r="K89" s="284"/>
      <c r="L89" s="193"/>
      <c r="M89" s="180"/>
      <c r="N89" s="180"/>
      <c r="O89" s="180"/>
      <c r="P89" s="180"/>
      <c r="Q89" s="180"/>
      <c r="R89" s="180"/>
      <c r="S89" s="24"/>
      <c r="T89" s="182"/>
      <c r="U89" s="24"/>
      <c r="V89" s="32"/>
      <c r="W89" s="240"/>
      <c r="X89" s="64"/>
      <c r="Y89" s="75"/>
      <c r="Z89" s="64"/>
      <c r="AA89" s="64"/>
      <c r="AB89" s="25"/>
      <c r="AC89" s="23"/>
      <c r="AD89" s="23"/>
      <c r="AE89" s="23"/>
      <c r="AF89" s="335"/>
      <c r="AG89" s="336"/>
      <c r="AH89" s="334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</row>
    <row r="90" spans="1:346" s="26" customFormat="1" ht="12" hidden="1" customHeight="1" x14ac:dyDescent="0.25">
      <c r="A90" s="21"/>
      <c r="B90" s="21"/>
      <c r="C90" s="22"/>
      <c r="D90" s="353"/>
      <c r="E90" s="73"/>
      <c r="F90" s="7"/>
      <c r="G90" s="7"/>
      <c r="H90" s="7"/>
      <c r="I90" s="180"/>
      <c r="J90" s="180"/>
      <c r="K90" s="284"/>
      <c r="L90" s="193"/>
      <c r="M90" s="180"/>
      <c r="N90" s="180"/>
      <c r="O90" s="180"/>
      <c r="P90" s="180"/>
      <c r="Q90" s="180"/>
      <c r="R90" s="180"/>
      <c r="S90" s="24"/>
      <c r="T90" s="182"/>
      <c r="U90" s="24"/>
      <c r="V90" s="32"/>
      <c r="W90" s="240"/>
      <c r="X90" s="64"/>
      <c r="Y90" s="75"/>
      <c r="Z90" s="64"/>
      <c r="AA90" s="64"/>
      <c r="AB90" s="25"/>
      <c r="AC90" s="23"/>
      <c r="AD90" s="23"/>
      <c r="AE90" s="23"/>
      <c r="AF90" s="335"/>
      <c r="AG90" s="336"/>
      <c r="AH90" s="334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</row>
    <row r="91" spans="1:346" s="26" customFormat="1" ht="12" hidden="1" customHeight="1" x14ac:dyDescent="0.25">
      <c r="A91" s="21"/>
      <c r="B91" s="21"/>
      <c r="C91" s="22"/>
      <c r="D91" s="353"/>
      <c r="E91" s="73"/>
      <c r="F91" s="7"/>
      <c r="G91" s="7"/>
      <c r="H91" s="7"/>
      <c r="I91" s="180"/>
      <c r="J91" s="180"/>
      <c r="K91" s="284"/>
      <c r="L91" s="193"/>
      <c r="M91" s="180"/>
      <c r="N91" s="180"/>
      <c r="O91" s="180"/>
      <c r="P91" s="180"/>
      <c r="Q91" s="180"/>
      <c r="R91" s="180"/>
      <c r="S91" s="24"/>
      <c r="T91" s="182"/>
      <c r="U91" s="24"/>
      <c r="V91" s="32"/>
      <c r="W91" s="240"/>
      <c r="X91" s="64"/>
      <c r="Y91" s="75"/>
      <c r="Z91" s="64"/>
      <c r="AA91" s="64"/>
      <c r="AB91" s="25"/>
      <c r="AC91" s="23"/>
      <c r="AD91" s="23"/>
      <c r="AE91" s="23"/>
      <c r="AF91" s="335"/>
      <c r="AG91" s="336"/>
      <c r="AH91" s="334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</row>
    <row r="92" spans="1:346" s="26" customFormat="1" ht="12" hidden="1" customHeight="1" x14ac:dyDescent="0.25">
      <c r="A92" s="21"/>
      <c r="B92" s="21"/>
      <c r="C92" s="22"/>
      <c r="D92" s="353"/>
      <c r="E92" s="73"/>
      <c r="F92" s="7"/>
      <c r="G92" s="7"/>
      <c r="H92" s="7"/>
      <c r="I92" s="180"/>
      <c r="J92" s="180"/>
      <c r="K92" s="284"/>
      <c r="L92" s="193"/>
      <c r="M92" s="180"/>
      <c r="N92" s="180"/>
      <c r="O92" s="180"/>
      <c r="P92" s="180"/>
      <c r="Q92" s="180"/>
      <c r="R92" s="180"/>
      <c r="S92" s="24"/>
      <c r="T92" s="182"/>
      <c r="U92" s="24"/>
      <c r="V92" s="32"/>
      <c r="W92" s="240"/>
      <c r="X92" s="64"/>
      <c r="Y92" s="75"/>
      <c r="Z92" s="64"/>
      <c r="AA92" s="64"/>
      <c r="AB92" s="25"/>
      <c r="AC92" s="23"/>
      <c r="AD92" s="23"/>
      <c r="AE92" s="23"/>
      <c r="AF92" s="335"/>
      <c r="AG92" s="336"/>
      <c r="AH92" s="334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</row>
    <row r="93" spans="1:346" s="26" customFormat="1" ht="12" hidden="1" customHeight="1" x14ac:dyDescent="0.25">
      <c r="A93" s="21"/>
      <c r="B93" s="21"/>
      <c r="C93" s="22"/>
      <c r="D93" s="353"/>
      <c r="E93" s="73"/>
      <c r="F93" s="7"/>
      <c r="G93" s="7"/>
      <c r="H93" s="7"/>
      <c r="I93" s="180"/>
      <c r="J93" s="180"/>
      <c r="K93" s="284"/>
      <c r="L93" s="193"/>
      <c r="M93" s="180"/>
      <c r="N93" s="180"/>
      <c r="O93" s="180"/>
      <c r="P93" s="180"/>
      <c r="Q93" s="180"/>
      <c r="R93" s="180"/>
      <c r="S93" s="24"/>
      <c r="T93" s="182"/>
      <c r="U93" s="24"/>
      <c r="V93" s="32"/>
      <c r="W93" s="240"/>
      <c r="X93" s="64"/>
      <c r="Y93" s="75"/>
      <c r="Z93" s="64"/>
      <c r="AA93" s="64"/>
      <c r="AB93" s="25"/>
      <c r="AC93" s="23"/>
      <c r="AD93" s="23"/>
      <c r="AE93" s="23"/>
      <c r="AF93" s="335"/>
      <c r="AG93" s="336"/>
      <c r="AH93" s="334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</row>
    <row r="94" spans="1:346" s="26" customFormat="1" ht="12" hidden="1" customHeight="1" x14ac:dyDescent="0.25">
      <c r="A94" s="21"/>
      <c r="B94" s="21"/>
      <c r="C94" s="22"/>
      <c r="D94" s="353"/>
      <c r="E94" s="73"/>
      <c r="F94" s="7"/>
      <c r="G94" s="7"/>
      <c r="H94" s="7"/>
      <c r="I94" s="180"/>
      <c r="J94" s="180"/>
      <c r="K94" s="284"/>
      <c r="L94" s="193"/>
      <c r="M94" s="180"/>
      <c r="N94" s="180"/>
      <c r="O94" s="180"/>
      <c r="P94" s="180"/>
      <c r="Q94" s="180"/>
      <c r="R94" s="180"/>
      <c r="S94" s="24"/>
      <c r="T94" s="182"/>
      <c r="U94" s="24"/>
      <c r="V94" s="32"/>
      <c r="W94" s="240"/>
      <c r="X94" s="64"/>
      <c r="Y94" s="75"/>
      <c r="Z94" s="64"/>
      <c r="AA94" s="64"/>
      <c r="AB94" s="25"/>
      <c r="AC94" s="23"/>
      <c r="AD94" s="23"/>
      <c r="AE94" s="23"/>
      <c r="AF94" s="335"/>
      <c r="AG94" s="336"/>
      <c r="AH94" s="334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</row>
    <row r="95" spans="1:346" s="26" customFormat="1" ht="12" hidden="1" customHeight="1" x14ac:dyDescent="0.25">
      <c r="A95" s="21"/>
      <c r="B95" s="21"/>
      <c r="C95" s="22"/>
      <c r="D95" s="353"/>
      <c r="E95" s="73"/>
      <c r="F95" s="7"/>
      <c r="G95" s="7"/>
      <c r="H95" s="7"/>
      <c r="I95" s="180"/>
      <c r="J95" s="180"/>
      <c r="K95" s="284"/>
      <c r="L95" s="193"/>
      <c r="M95" s="180"/>
      <c r="N95" s="180"/>
      <c r="O95" s="180"/>
      <c r="P95" s="180"/>
      <c r="Q95" s="180"/>
      <c r="R95" s="180"/>
      <c r="S95" s="24"/>
      <c r="T95" s="182"/>
      <c r="U95" s="24"/>
      <c r="V95" s="32"/>
      <c r="W95" s="240"/>
      <c r="X95" s="64"/>
      <c r="Y95" s="75"/>
      <c r="Z95" s="64"/>
      <c r="AA95" s="64"/>
      <c r="AB95" s="25"/>
      <c r="AC95" s="23"/>
      <c r="AD95" s="23"/>
      <c r="AE95" s="23"/>
      <c r="AF95" s="335"/>
      <c r="AG95" s="336"/>
      <c r="AH95" s="334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</row>
    <row r="96" spans="1:346" s="26" customFormat="1" ht="12" hidden="1" customHeight="1" x14ac:dyDescent="0.25">
      <c r="A96" s="21"/>
      <c r="B96" s="21"/>
      <c r="C96" s="22"/>
      <c r="D96" s="353"/>
      <c r="E96" s="73"/>
      <c r="F96" s="7"/>
      <c r="G96" s="7"/>
      <c r="H96" s="7"/>
      <c r="I96" s="180"/>
      <c r="J96" s="180"/>
      <c r="K96" s="284"/>
      <c r="L96" s="193"/>
      <c r="M96" s="180"/>
      <c r="N96" s="180"/>
      <c r="O96" s="180"/>
      <c r="P96" s="180"/>
      <c r="Q96" s="180"/>
      <c r="R96" s="180"/>
      <c r="S96" s="24"/>
      <c r="T96" s="182"/>
      <c r="U96" s="24"/>
      <c r="V96" s="32"/>
      <c r="W96" s="240"/>
      <c r="X96" s="64"/>
      <c r="Y96" s="75"/>
      <c r="Z96" s="64"/>
      <c r="AA96" s="64"/>
      <c r="AB96" s="25"/>
      <c r="AC96" s="23"/>
      <c r="AD96" s="23"/>
      <c r="AE96" s="23"/>
      <c r="AF96" s="335"/>
      <c r="AG96" s="336"/>
      <c r="AH96" s="334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</row>
    <row r="97" spans="1:346" s="26" customFormat="1" ht="12" hidden="1" customHeight="1" x14ac:dyDescent="0.25">
      <c r="A97" s="21"/>
      <c r="B97" s="21"/>
      <c r="C97" s="22"/>
      <c r="D97" s="353"/>
      <c r="E97" s="73"/>
      <c r="F97" s="7"/>
      <c r="G97" s="7"/>
      <c r="H97" s="7"/>
      <c r="I97" s="180"/>
      <c r="J97" s="180"/>
      <c r="K97" s="284"/>
      <c r="L97" s="193"/>
      <c r="M97" s="180"/>
      <c r="N97" s="180"/>
      <c r="O97" s="180"/>
      <c r="P97" s="180"/>
      <c r="Q97" s="180"/>
      <c r="R97" s="180"/>
      <c r="S97" s="24"/>
      <c r="T97" s="182"/>
      <c r="U97" s="24"/>
      <c r="V97" s="32"/>
      <c r="W97" s="240"/>
      <c r="X97" s="64"/>
      <c r="Y97" s="75"/>
      <c r="Z97" s="64"/>
      <c r="AA97" s="64"/>
      <c r="AB97" s="25"/>
      <c r="AC97" s="23"/>
      <c r="AD97" s="23"/>
      <c r="AE97" s="23"/>
      <c r="AF97" s="335"/>
      <c r="AG97" s="336"/>
      <c r="AH97" s="334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</row>
    <row r="98" spans="1:346" s="26" customFormat="1" ht="12" hidden="1" customHeight="1" x14ac:dyDescent="0.25">
      <c r="A98" s="21"/>
      <c r="B98" s="21"/>
      <c r="C98" s="22"/>
      <c r="D98" s="353"/>
      <c r="E98" s="73"/>
      <c r="F98" s="7"/>
      <c r="G98" s="7"/>
      <c r="H98" s="7"/>
      <c r="I98" s="180"/>
      <c r="J98" s="180"/>
      <c r="K98" s="284"/>
      <c r="L98" s="193"/>
      <c r="M98" s="180"/>
      <c r="N98" s="180"/>
      <c r="O98" s="180"/>
      <c r="P98" s="180"/>
      <c r="Q98" s="180"/>
      <c r="R98" s="180"/>
      <c r="S98" s="24"/>
      <c r="T98" s="182"/>
      <c r="U98" s="24"/>
      <c r="V98" s="32"/>
      <c r="W98" s="240"/>
      <c r="X98" s="64"/>
      <c r="Y98" s="75"/>
      <c r="Z98" s="64"/>
      <c r="AA98" s="64"/>
      <c r="AB98" s="25"/>
      <c r="AC98" s="23"/>
      <c r="AD98" s="23"/>
      <c r="AE98" s="23"/>
      <c r="AF98" s="335"/>
      <c r="AG98" s="336"/>
      <c r="AH98" s="334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</row>
    <row r="99" spans="1:346" s="26" customFormat="1" ht="12" hidden="1" customHeight="1" x14ac:dyDescent="0.25">
      <c r="A99" s="21"/>
      <c r="B99" s="21"/>
      <c r="C99" s="22"/>
      <c r="D99" s="353"/>
      <c r="E99" s="73"/>
      <c r="F99" s="7"/>
      <c r="G99" s="7"/>
      <c r="H99" s="7"/>
      <c r="I99" s="180"/>
      <c r="J99" s="180"/>
      <c r="K99" s="284"/>
      <c r="L99" s="193"/>
      <c r="M99" s="180"/>
      <c r="N99" s="180"/>
      <c r="O99" s="180"/>
      <c r="P99" s="180"/>
      <c r="Q99" s="180"/>
      <c r="R99" s="180"/>
      <c r="S99" s="24"/>
      <c r="T99" s="182"/>
      <c r="U99" s="24"/>
      <c r="V99" s="32"/>
      <c r="W99" s="240"/>
      <c r="X99" s="64"/>
      <c r="Y99" s="75"/>
      <c r="Z99" s="64"/>
      <c r="AA99" s="64"/>
      <c r="AB99" s="25"/>
      <c r="AC99" s="23"/>
      <c r="AD99" s="23"/>
      <c r="AE99" s="23"/>
      <c r="AF99" s="335"/>
      <c r="AG99" s="336"/>
      <c r="AH99" s="334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</row>
    <row r="100" spans="1:346" s="26" customFormat="1" ht="12" hidden="1" customHeight="1" x14ac:dyDescent="0.25">
      <c r="A100" s="21"/>
      <c r="B100" s="21"/>
      <c r="C100" s="22"/>
      <c r="D100" s="353"/>
      <c r="E100" s="73"/>
      <c r="F100" s="7"/>
      <c r="G100" s="7"/>
      <c r="H100" s="7"/>
      <c r="I100" s="180"/>
      <c r="J100" s="180"/>
      <c r="K100" s="284"/>
      <c r="L100" s="193"/>
      <c r="M100" s="180"/>
      <c r="N100" s="180"/>
      <c r="O100" s="180"/>
      <c r="P100" s="180"/>
      <c r="Q100" s="180"/>
      <c r="R100" s="180"/>
      <c r="S100" s="24"/>
      <c r="T100" s="182"/>
      <c r="U100" s="24"/>
      <c r="V100" s="32"/>
      <c r="W100" s="240"/>
      <c r="X100" s="64"/>
      <c r="Y100" s="75"/>
      <c r="Z100" s="64"/>
      <c r="AA100" s="64"/>
      <c r="AB100" s="25"/>
      <c r="AC100" s="23"/>
      <c r="AD100" s="23"/>
      <c r="AE100" s="23"/>
      <c r="AF100" s="335"/>
      <c r="AG100" s="336"/>
      <c r="AH100" s="334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</row>
    <row r="101" spans="1:346" s="26" customFormat="1" ht="12" hidden="1" customHeight="1" x14ac:dyDescent="0.25">
      <c r="A101" s="21"/>
      <c r="B101" s="21"/>
      <c r="C101" s="22"/>
      <c r="D101" s="353"/>
      <c r="E101" s="73"/>
      <c r="F101" s="7"/>
      <c r="G101" s="7"/>
      <c r="H101" s="7"/>
      <c r="I101" s="180"/>
      <c r="J101" s="180"/>
      <c r="K101" s="284"/>
      <c r="L101" s="193"/>
      <c r="M101" s="180"/>
      <c r="N101" s="180"/>
      <c r="O101" s="180"/>
      <c r="P101" s="180"/>
      <c r="Q101" s="180"/>
      <c r="R101" s="180"/>
      <c r="S101" s="24"/>
      <c r="T101" s="182"/>
      <c r="U101" s="24"/>
      <c r="V101" s="32"/>
      <c r="W101" s="240"/>
      <c r="X101" s="64"/>
      <c r="Y101" s="75"/>
      <c r="Z101" s="64"/>
      <c r="AA101" s="64"/>
      <c r="AB101" s="25"/>
      <c r="AC101" s="23"/>
      <c r="AD101" s="23"/>
      <c r="AE101" s="23"/>
      <c r="AF101" s="335"/>
      <c r="AG101" s="336"/>
      <c r="AH101" s="334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</row>
    <row r="102" spans="1:346" s="26" customFormat="1" ht="12" hidden="1" customHeight="1" x14ac:dyDescent="0.25">
      <c r="A102" s="21"/>
      <c r="B102" s="21"/>
      <c r="C102" s="22"/>
      <c r="D102" s="353"/>
      <c r="E102" s="73"/>
      <c r="F102" s="7"/>
      <c r="G102" s="7"/>
      <c r="H102" s="7"/>
      <c r="I102" s="180"/>
      <c r="J102" s="180"/>
      <c r="K102" s="284"/>
      <c r="L102" s="193"/>
      <c r="M102" s="180"/>
      <c r="N102" s="180"/>
      <c r="O102" s="180"/>
      <c r="P102" s="180"/>
      <c r="Q102" s="180"/>
      <c r="R102" s="180"/>
      <c r="S102" s="24"/>
      <c r="T102" s="182"/>
      <c r="U102" s="24"/>
      <c r="V102" s="32"/>
      <c r="W102" s="240"/>
      <c r="X102" s="64"/>
      <c r="Y102" s="75"/>
      <c r="Z102" s="64"/>
      <c r="AA102" s="64"/>
      <c r="AB102" s="25"/>
      <c r="AC102" s="23"/>
      <c r="AD102" s="23"/>
      <c r="AE102" s="23"/>
      <c r="AF102" s="335"/>
      <c r="AG102" s="336"/>
      <c r="AH102" s="334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</row>
    <row r="103" spans="1:346" s="26" customFormat="1" ht="12" hidden="1" customHeight="1" x14ac:dyDescent="0.25">
      <c r="A103" s="21"/>
      <c r="B103" s="21"/>
      <c r="C103" s="22"/>
      <c r="D103" s="353"/>
      <c r="E103" s="73"/>
      <c r="F103" s="7"/>
      <c r="G103" s="7"/>
      <c r="H103" s="7"/>
      <c r="I103" s="180"/>
      <c r="J103" s="180"/>
      <c r="K103" s="284"/>
      <c r="L103" s="193"/>
      <c r="M103" s="180"/>
      <c r="N103" s="180"/>
      <c r="O103" s="180"/>
      <c r="P103" s="180"/>
      <c r="Q103" s="180"/>
      <c r="R103" s="180"/>
      <c r="S103" s="24"/>
      <c r="T103" s="182"/>
      <c r="U103" s="24"/>
      <c r="V103" s="32"/>
      <c r="W103" s="240"/>
      <c r="X103" s="64"/>
      <c r="Y103" s="75"/>
      <c r="Z103" s="64"/>
      <c r="AA103" s="64"/>
      <c r="AB103" s="25"/>
      <c r="AC103" s="23"/>
      <c r="AD103" s="23"/>
      <c r="AE103" s="23"/>
      <c r="AF103" s="335"/>
      <c r="AG103" s="336"/>
      <c r="AH103" s="334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</row>
    <row r="104" spans="1:346" s="26" customFormat="1" ht="12" hidden="1" customHeight="1" x14ac:dyDescent="0.25">
      <c r="A104" s="21"/>
      <c r="B104" s="21"/>
      <c r="C104" s="22"/>
      <c r="D104" s="353"/>
      <c r="E104" s="73"/>
      <c r="F104" s="7"/>
      <c r="G104" s="7"/>
      <c r="H104" s="7"/>
      <c r="I104" s="180"/>
      <c r="J104" s="180"/>
      <c r="K104" s="284"/>
      <c r="L104" s="193"/>
      <c r="M104" s="180"/>
      <c r="N104" s="180"/>
      <c r="O104" s="180"/>
      <c r="P104" s="180"/>
      <c r="Q104" s="180"/>
      <c r="R104" s="180"/>
      <c r="S104" s="24"/>
      <c r="T104" s="182"/>
      <c r="U104" s="24"/>
      <c r="V104" s="32"/>
      <c r="W104" s="240"/>
      <c r="X104" s="64"/>
      <c r="Y104" s="75"/>
      <c r="Z104" s="64"/>
      <c r="AA104" s="64"/>
      <c r="AB104" s="25"/>
      <c r="AC104" s="23"/>
      <c r="AD104" s="23"/>
      <c r="AE104" s="23"/>
      <c r="AF104" s="335"/>
      <c r="AG104" s="336"/>
      <c r="AH104" s="334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</row>
    <row r="105" spans="1:346" s="26" customFormat="1" ht="12" hidden="1" customHeight="1" x14ac:dyDescent="0.25">
      <c r="A105" s="21"/>
      <c r="B105" s="21"/>
      <c r="C105" s="22"/>
      <c r="D105" s="353"/>
      <c r="E105" s="73"/>
      <c r="F105" s="7"/>
      <c r="G105" s="7"/>
      <c r="H105" s="7"/>
      <c r="I105" s="180"/>
      <c r="J105" s="180"/>
      <c r="K105" s="284"/>
      <c r="L105" s="193"/>
      <c r="M105" s="180"/>
      <c r="N105" s="180"/>
      <c r="O105" s="180"/>
      <c r="P105" s="180"/>
      <c r="Q105" s="180"/>
      <c r="R105" s="180"/>
      <c r="S105" s="24"/>
      <c r="T105" s="182"/>
      <c r="U105" s="24"/>
      <c r="V105" s="32"/>
      <c r="W105" s="240"/>
      <c r="X105" s="64"/>
      <c r="Y105" s="75"/>
      <c r="Z105" s="64"/>
      <c r="AA105" s="64"/>
      <c r="AB105" s="25"/>
      <c r="AC105" s="23"/>
      <c r="AD105" s="23"/>
      <c r="AE105" s="23"/>
      <c r="AF105" s="335"/>
      <c r="AG105" s="336"/>
      <c r="AH105" s="334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</row>
    <row r="106" spans="1:346" s="26" customFormat="1" ht="12" hidden="1" customHeight="1" x14ac:dyDescent="0.25">
      <c r="A106" s="21"/>
      <c r="B106" s="21"/>
      <c r="C106" s="22"/>
      <c r="D106" s="353"/>
      <c r="E106" s="73"/>
      <c r="F106" s="7"/>
      <c r="G106" s="7"/>
      <c r="H106" s="7"/>
      <c r="I106" s="180"/>
      <c r="J106" s="180"/>
      <c r="K106" s="284"/>
      <c r="L106" s="193"/>
      <c r="M106" s="180"/>
      <c r="N106" s="180"/>
      <c r="O106" s="180"/>
      <c r="P106" s="180"/>
      <c r="Q106" s="180"/>
      <c r="R106" s="180"/>
      <c r="S106" s="24"/>
      <c r="T106" s="182"/>
      <c r="U106" s="24"/>
      <c r="V106" s="32"/>
      <c r="W106" s="240"/>
      <c r="X106" s="64"/>
      <c r="Y106" s="75"/>
      <c r="Z106" s="64"/>
      <c r="AA106" s="64"/>
      <c r="AB106" s="25"/>
      <c r="AC106" s="23"/>
      <c r="AD106" s="23"/>
      <c r="AE106" s="23"/>
      <c r="AF106" s="335"/>
      <c r="AG106" s="336"/>
      <c r="AH106" s="334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</row>
    <row r="107" spans="1:346" s="26" customFormat="1" ht="12" hidden="1" customHeight="1" x14ac:dyDescent="0.25">
      <c r="A107" s="21"/>
      <c r="B107" s="21"/>
      <c r="C107" s="22"/>
      <c r="D107" s="353"/>
      <c r="E107" s="73"/>
      <c r="F107" s="7"/>
      <c r="G107" s="7"/>
      <c r="H107" s="7"/>
      <c r="I107" s="180"/>
      <c r="J107" s="180"/>
      <c r="K107" s="284"/>
      <c r="L107" s="193"/>
      <c r="M107" s="180"/>
      <c r="N107" s="180"/>
      <c r="O107" s="180"/>
      <c r="P107" s="180"/>
      <c r="Q107" s="180"/>
      <c r="R107" s="180"/>
      <c r="S107" s="24"/>
      <c r="T107" s="182"/>
      <c r="U107" s="24"/>
      <c r="V107" s="32"/>
      <c r="W107" s="240"/>
      <c r="X107" s="64"/>
      <c r="Y107" s="75"/>
      <c r="Z107" s="64"/>
      <c r="AA107" s="64"/>
      <c r="AB107" s="25"/>
      <c r="AC107" s="23"/>
      <c r="AD107" s="23"/>
      <c r="AE107" s="23"/>
      <c r="AF107" s="335"/>
      <c r="AG107" s="336"/>
      <c r="AH107" s="334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</row>
    <row r="108" spans="1:346" s="26" customFormat="1" ht="12" hidden="1" customHeight="1" x14ac:dyDescent="0.25">
      <c r="A108" s="21"/>
      <c r="B108" s="21"/>
      <c r="C108" s="22"/>
      <c r="D108" s="353"/>
      <c r="E108" s="73"/>
      <c r="F108" s="7"/>
      <c r="G108" s="7"/>
      <c r="H108" s="7"/>
      <c r="I108" s="180"/>
      <c r="J108" s="180"/>
      <c r="K108" s="284"/>
      <c r="L108" s="193"/>
      <c r="M108" s="180"/>
      <c r="N108" s="180"/>
      <c r="O108" s="180"/>
      <c r="P108" s="180"/>
      <c r="Q108" s="180"/>
      <c r="R108" s="180"/>
      <c r="S108" s="24"/>
      <c r="T108" s="182"/>
      <c r="U108" s="24"/>
      <c r="V108" s="32"/>
      <c r="W108" s="240"/>
      <c r="X108" s="64"/>
      <c r="Y108" s="75"/>
      <c r="Z108" s="64"/>
      <c r="AA108" s="64"/>
      <c r="AB108" s="25"/>
      <c r="AC108" s="23"/>
      <c r="AD108" s="23"/>
      <c r="AE108" s="23"/>
      <c r="AF108" s="335"/>
      <c r="AG108" s="336"/>
      <c r="AH108" s="334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</row>
    <row r="109" spans="1:346" s="26" customFormat="1" ht="12" hidden="1" customHeight="1" x14ac:dyDescent="0.25">
      <c r="A109" s="21"/>
      <c r="B109" s="21"/>
      <c r="C109" s="22"/>
      <c r="D109" s="353"/>
      <c r="E109" s="73"/>
      <c r="F109" s="7"/>
      <c r="G109" s="7"/>
      <c r="H109" s="7"/>
      <c r="I109" s="180"/>
      <c r="J109" s="180"/>
      <c r="K109" s="284"/>
      <c r="L109" s="193"/>
      <c r="M109" s="180"/>
      <c r="N109" s="180"/>
      <c r="O109" s="180"/>
      <c r="P109" s="180"/>
      <c r="Q109" s="180"/>
      <c r="R109" s="180"/>
      <c r="S109" s="24"/>
      <c r="T109" s="182"/>
      <c r="U109" s="24"/>
      <c r="V109" s="32"/>
      <c r="W109" s="240"/>
      <c r="X109" s="64"/>
      <c r="Y109" s="75"/>
      <c r="Z109" s="64"/>
      <c r="AA109" s="64"/>
      <c r="AB109" s="25"/>
      <c r="AC109" s="23"/>
      <c r="AD109" s="23"/>
      <c r="AE109" s="23"/>
      <c r="AF109" s="335"/>
      <c r="AG109" s="336"/>
      <c r="AH109" s="334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</row>
    <row r="110" spans="1:346" s="26" customFormat="1" ht="12" hidden="1" customHeight="1" x14ac:dyDescent="0.25">
      <c r="A110" s="21"/>
      <c r="B110" s="21"/>
      <c r="C110" s="22"/>
      <c r="D110" s="353"/>
      <c r="E110" s="73"/>
      <c r="F110" s="7"/>
      <c r="G110" s="7"/>
      <c r="H110" s="7"/>
      <c r="I110" s="180"/>
      <c r="J110" s="180"/>
      <c r="K110" s="284"/>
      <c r="L110" s="193"/>
      <c r="M110" s="180"/>
      <c r="N110" s="180"/>
      <c r="O110" s="180"/>
      <c r="P110" s="180"/>
      <c r="Q110" s="180"/>
      <c r="R110" s="180"/>
      <c r="S110" s="24"/>
      <c r="T110" s="182"/>
      <c r="U110" s="24"/>
      <c r="V110" s="32"/>
      <c r="W110" s="240"/>
      <c r="X110" s="64"/>
      <c r="Y110" s="75"/>
      <c r="Z110" s="64"/>
      <c r="AA110" s="64"/>
      <c r="AB110" s="25"/>
      <c r="AC110" s="23"/>
      <c r="AD110" s="23"/>
      <c r="AE110" s="23"/>
      <c r="AF110" s="335"/>
      <c r="AG110" s="336"/>
      <c r="AH110" s="334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</row>
    <row r="111" spans="1:346" s="26" customFormat="1" ht="12" hidden="1" customHeight="1" x14ac:dyDescent="0.25">
      <c r="A111" s="21"/>
      <c r="B111" s="21"/>
      <c r="C111" s="22"/>
      <c r="D111" s="353"/>
      <c r="E111" s="73"/>
      <c r="F111" s="7"/>
      <c r="G111" s="7"/>
      <c r="H111" s="7"/>
      <c r="I111" s="180"/>
      <c r="J111" s="180"/>
      <c r="K111" s="284"/>
      <c r="L111" s="193"/>
      <c r="M111" s="180"/>
      <c r="N111" s="180"/>
      <c r="O111" s="180"/>
      <c r="P111" s="180"/>
      <c r="Q111" s="180"/>
      <c r="R111" s="180"/>
      <c r="S111" s="24"/>
      <c r="T111" s="182"/>
      <c r="U111" s="24"/>
      <c r="V111" s="32"/>
      <c r="W111" s="240"/>
      <c r="X111" s="64"/>
      <c r="Y111" s="75"/>
      <c r="Z111" s="64"/>
      <c r="AA111" s="64"/>
      <c r="AB111" s="25"/>
      <c r="AC111" s="23"/>
      <c r="AD111" s="23"/>
      <c r="AE111" s="23"/>
      <c r="AF111" s="335"/>
      <c r="AG111" s="336"/>
      <c r="AH111" s="334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</row>
    <row r="112" spans="1:346" s="26" customFormat="1" ht="12" hidden="1" customHeight="1" x14ac:dyDescent="0.25">
      <c r="A112" s="21"/>
      <c r="B112" s="21"/>
      <c r="C112" s="22"/>
      <c r="D112" s="353"/>
      <c r="E112" s="73"/>
      <c r="F112" s="7"/>
      <c r="G112" s="7"/>
      <c r="H112" s="7"/>
      <c r="I112" s="180"/>
      <c r="J112" s="180"/>
      <c r="K112" s="284"/>
      <c r="L112" s="193"/>
      <c r="M112" s="180"/>
      <c r="N112" s="180"/>
      <c r="O112" s="180"/>
      <c r="P112" s="180"/>
      <c r="Q112" s="180"/>
      <c r="R112" s="180"/>
      <c r="S112" s="24"/>
      <c r="T112" s="182"/>
      <c r="U112" s="24"/>
      <c r="V112" s="32"/>
      <c r="W112" s="240"/>
      <c r="X112" s="64"/>
      <c r="Y112" s="75"/>
      <c r="Z112" s="64"/>
      <c r="AA112" s="64"/>
      <c r="AB112" s="25"/>
      <c r="AC112" s="23"/>
      <c r="AD112" s="23"/>
      <c r="AE112" s="23"/>
      <c r="AF112" s="335"/>
      <c r="AG112" s="336"/>
      <c r="AH112" s="334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</row>
    <row r="113" spans="1:346" s="26" customFormat="1" ht="12" hidden="1" customHeight="1" x14ac:dyDescent="0.25">
      <c r="A113" s="21"/>
      <c r="B113" s="21"/>
      <c r="C113" s="22"/>
      <c r="D113" s="353"/>
      <c r="E113" s="73"/>
      <c r="F113" s="7"/>
      <c r="G113" s="7"/>
      <c r="H113" s="7"/>
      <c r="I113" s="180"/>
      <c r="J113" s="180"/>
      <c r="K113" s="284"/>
      <c r="L113" s="193"/>
      <c r="M113" s="180"/>
      <c r="N113" s="180"/>
      <c r="O113" s="180"/>
      <c r="P113" s="180"/>
      <c r="Q113" s="180"/>
      <c r="R113" s="180"/>
      <c r="S113" s="24"/>
      <c r="T113" s="182"/>
      <c r="U113" s="24"/>
      <c r="V113" s="32"/>
      <c r="W113" s="240"/>
      <c r="X113" s="64"/>
      <c r="Y113" s="75"/>
      <c r="Z113" s="64"/>
      <c r="AA113" s="64"/>
      <c r="AB113" s="25"/>
      <c r="AC113" s="23"/>
      <c r="AD113" s="23"/>
      <c r="AE113" s="23"/>
      <c r="AF113" s="335"/>
      <c r="AG113" s="336"/>
      <c r="AH113" s="334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</row>
    <row r="114" spans="1:346" s="26" customFormat="1" ht="12" hidden="1" customHeight="1" x14ac:dyDescent="0.25">
      <c r="A114" s="21"/>
      <c r="B114" s="21"/>
      <c r="C114" s="22"/>
      <c r="D114" s="353"/>
      <c r="E114" s="73"/>
      <c r="F114" s="7"/>
      <c r="G114" s="7"/>
      <c r="H114" s="7"/>
      <c r="I114" s="180"/>
      <c r="J114" s="180"/>
      <c r="K114" s="284"/>
      <c r="L114" s="193"/>
      <c r="M114" s="180"/>
      <c r="N114" s="180"/>
      <c r="O114" s="180"/>
      <c r="P114" s="180"/>
      <c r="Q114" s="180"/>
      <c r="R114" s="180"/>
      <c r="S114" s="24"/>
      <c r="T114" s="182"/>
      <c r="U114" s="24"/>
      <c r="V114" s="32"/>
      <c r="W114" s="240"/>
      <c r="X114" s="64"/>
      <c r="Y114" s="75"/>
      <c r="Z114" s="64"/>
      <c r="AA114" s="64"/>
      <c r="AB114" s="25"/>
      <c r="AC114" s="23"/>
      <c r="AD114" s="23"/>
      <c r="AE114" s="23"/>
      <c r="AF114" s="335"/>
      <c r="AG114" s="336"/>
      <c r="AH114" s="334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</row>
    <row r="115" spans="1:346" s="26" customFormat="1" ht="12" hidden="1" customHeight="1" x14ac:dyDescent="0.25">
      <c r="A115" s="21"/>
      <c r="B115" s="21"/>
      <c r="C115" s="22"/>
      <c r="D115" s="353"/>
      <c r="E115" s="73"/>
      <c r="F115" s="7"/>
      <c r="G115" s="7"/>
      <c r="H115" s="7"/>
      <c r="I115" s="180"/>
      <c r="J115" s="180"/>
      <c r="K115" s="284"/>
      <c r="L115" s="193"/>
      <c r="M115" s="180"/>
      <c r="N115" s="180"/>
      <c r="O115" s="180"/>
      <c r="P115" s="180"/>
      <c r="Q115" s="180"/>
      <c r="R115" s="180"/>
      <c r="S115" s="24"/>
      <c r="T115" s="182"/>
      <c r="U115" s="24"/>
      <c r="V115" s="32"/>
      <c r="W115" s="240"/>
      <c r="X115" s="64"/>
      <c r="Y115" s="75"/>
      <c r="Z115" s="64"/>
      <c r="AA115" s="64"/>
      <c r="AB115" s="25"/>
      <c r="AC115" s="23"/>
      <c r="AD115" s="23"/>
      <c r="AE115" s="23"/>
      <c r="AF115" s="335"/>
      <c r="AG115" s="336"/>
      <c r="AH115" s="334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</row>
    <row r="116" spans="1:346" s="26" customFormat="1" ht="12" hidden="1" customHeight="1" x14ac:dyDescent="0.25">
      <c r="A116" s="21"/>
      <c r="B116" s="21"/>
      <c r="C116" s="22"/>
      <c r="D116" s="353"/>
      <c r="E116" s="73"/>
      <c r="F116" s="7"/>
      <c r="G116" s="7"/>
      <c r="H116" s="7"/>
      <c r="I116" s="180"/>
      <c r="J116" s="180"/>
      <c r="K116" s="284"/>
      <c r="L116" s="193"/>
      <c r="M116" s="180"/>
      <c r="N116" s="180"/>
      <c r="O116" s="180"/>
      <c r="P116" s="180"/>
      <c r="Q116" s="180"/>
      <c r="R116" s="180"/>
      <c r="S116" s="24"/>
      <c r="T116" s="182"/>
      <c r="U116" s="24"/>
      <c r="V116" s="32"/>
      <c r="W116" s="240"/>
      <c r="X116" s="64"/>
      <c r="Y116" s="75"/>
      <c r="Z116" s="64"/>
      <c r="AA116" s="64"/>
      <c r="AB116" s="25"/>
      <c r="AC116" s="23"/>
      <c r="AD116" s="23"/>
      <c r="AE116" s="23"/>
      <c r="AF116" s="335"/>
      <c r="AG116" s="336"/>
      <c r="AH116" s="334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</row>
    <row r="117" spans="1:346" s="26" customFormat="1" ht="12" hidden="1" customHeight="1" x14ac:dyDescent="0.25">
      <c r="A117" s="21"/>
      <c r="B117" s="21"/>
      <c r="C117" s="22"/>
      <c r="D117" s="353"/>
      <c r="E117" s="73"/>
      <c r="F117" s="7"/>
      <c r="G117" s="7"/>
      <c r="H117" s="7"/>
      <c r="I117" s="180"/>
      <c r="J117" s="180"/>
      <c r="K117" s="284"/>
      <c r="L117" s="193"/>
      <c r="M117" s="180"/>
      <c r="N117" s="180"/>
      <c r="O117" s="180"/>
      <c r="P117" s="180"/>
      <c r="Q117" s="180"/>
      <c r="R117" s="180"/>
      <c r="S117" s="24"/>
      <c r="T117" s="182"/>
      <c r="U117" s="24"/>
      <c r="V117" s="32"/>
      <c r="W117" s="240"/>
      <c r="X117" s="64"/>
      <c r="Y117" s="75"/>
      <c r="Z117" s="64"/>
      <c r="AA117" s="64"/>
      <c r="AB117" s="25"/>
      <c r="AC117" s="23"/>
      <c r="AD117" s="23"/>
      <c r="AE117" s="23"/>
      <c r="AF117" s="335"/>
      <c r="AG117" s="336"/>
      <c r="AH117" s="334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</row>
    <row r="118" spans="1:346" s="26" customFormat="1" ht="12" hidden="1" customHeight="1" x14ac:dyDescent="0.25">
      <c r="A118" s="21"/>
      <c r="B118" s="21"/>
      <c r="C118" s="22"/>
      <c r="D118" s="353"/>
      <c r="E118" s="73"/>
      <c r="F118" s="7"/>
      <c r="G118" s="7"/>
      <c r="H118" s="7"/>
      <c r="I118" s="180"/>
      <c r="J118" s="180"/>
      <c r="K118" s="284"/>
      <c r="L118" s="193"/>
      <c r="M118" s="180"/>
      <c r="N118" s="180"/>
      <c r="O118" s="180"/>
      <c r="P118" s="180"/>
      <c r="Q118" s="180"/>
      <c r="R118" s="180"/>
      <c r="S118" s="24"/>
      <c r="T118" s="182"/>
      <c r="U118" s="24"/>
      <c r="V118" s="32"/>
      <c r="W118" s="240"/>
      <c r="X118" s="64"/>
      <c r="Y118" s="75"/>
      <c r="Z118" s="64"/>
      <c r="AA118" s="64"/>
      <c r="AB118" s="25"/>
      <c r="AC118" s="23"/>
      <c r="AD118" s="23"/>
      <c r="AE118" s="23"/>
      <c r="AF118" s="335"/>
      <c r="AG118" s="336"/>
      <c r="AH118" s="334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</row>
    <row r="119" spans="1:346" s="26" customFormat="1" ht="12" hidden="1" customHeight="1" x14ac:dyDescent="0.25">
      <c r="A119" s="21"/>
      <c r="B119" s="21"/>
      <c r="C119" s="22"/>
      <c r="D119" s="353"/>
      <c r="E119" s="73"/>
      <c r="F119" s="7"/>
      <c r="G119" s="7"/>
      <c r="H119" s="7"/>
      <c r="I119" s="180"/>
      <c r="J119" s="180"/>
      <c r="K119" s="284"/>
      <c r="L119" s="193"/>
      <c r="M119" s="180"/>
      <c r="N119" s="180"/>
      <c r="O119" s="180"/>
      <c r="P119" s="180"/>
      <c r="Q119" s="180"/>
      <c r="R119" s="180"/>
      <c r="S119" s="24"/>
      <c r="T119" s="182"/>
      <c r="U119" s="24"/>
      <c r="V119" s="32"/>
      <c r="W119" s="240"/>
      <c r="X119" s="64"/>
      <c r="Y119" s="75"/>
      <c r="Z119" s="64"/>
      <c r="AA119" s="64"/>
      <c r="AB119" s="25"/>
      <c r="AC119" s="23"/>
      <c r="AD119" s="23"/>
      <c r="AE119" s="23"/>
      <c r="AF119" s="335"/>
      <c r="AG119" s="336"/>
      <c r="AH119" s="334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</row>
    <row r="120" spans="1:346" s="26" customFormat="1" ht="12" hidden="1" customHeight="1" x14ac:dyDescent="0.25">
      <c r="A120" s="21"/>
      <c r="B120" s="21"/>
      <c r="C120" s="22"/>
      <c r="D120" s="353"/>
      <c r="E120" s="73"/>
      <c r="F120" s="7"/>
      <c r="G120" s="7"/>
      <c r="H120" s="7"/>
      <c r="I120" s="180"/>
      <c r="J120" s="180"/>
      <c r="K120" s="284"/>
      <c r="L120" s="193"/>
      <c r="M120" s="180"/>
      <c r="N120" s="180"/>
      <c r="O120" s="180"/>
      <c r="P120" s="180"/>
      <c r="Q120" s="180"/>
      <c r="R120" s="180"/>
      <c r="S120" s="24"/>
      <c r="T120" s="182"/>
      <c r="U120" s="24"/>
      <c r="V120" s="32"/>
      <c r="W120" s="240"/>
      <c r="X120" s="64"/>
      <c r="Y120" s="75"/>
      <c r="Z120" s="64"/>
      <c r="AA120" s="64"/>
      <c r="AB120" s="25"/>
      <c r="AC120" s="23"/>
      <c r="AD120" s="23"/>
      <c r="AE120" s="23"/>
      <c r="AF120" s="335"/>
      <c r="AG120" s="336"/>
      <c r="AH120" s="334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</row>
    <row r="121" spans="1:346" s="26" customFormat="1" ht="12" hidden="1" customHeight="1" x14ac:dyDescent="0.25">
      <c r="A121" s="21"/>
      <c r="B121" s="21"/>
      <c r="C121" s="22"/>
      <c r="D121" s="353"/>
      <c r="E121" s="73"/>
      <c r="F121" s="7"/>
      <c r="G121" s="7"/>
      <c r="H121" s="7"/>
      <c r="I121" s="180"/>
      <c r="J121" s="180"/>
      <c r="K121" s="284"/>
      <c r="L121" s="193"/>
      <c r="M121" s="180"/>
      <c r="N121" s="180"/>
      <c r="O121" s="180"/>
      <c r="P121" s="180"/>
      <c r="Q121" s="180"/>
      <c r="R121" s="180"/>
      <c r="S121" s="24"/>
      <c r="T121" s="182"/>
      <c r="U121" s="24"/>
      <c r="V121" s="32"/>
      <c r="W121" s="240"/>
      <c r="X121" s="64"/>
      <c r="Y121" s="75"/>
      <c r="Z121" s="64"/>
      <c r="AA121" s="64"/>
      <c r="AB121" s="25"/>
      <c r="AC121" s="23"/>
      <c r="AD121" s="23"/>
      <c r="AE121" s="23"/>
      <c r="AF121" s="335"/>
      <c r="AG121" s="336"/>
      <c r="AH121" s="334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</row>
    <row r="122" spans="1:346" s="26" customFormat="1" ht="12" hidden="1" customHeight="1" x14ac:dyDescent="0.25">
      <c r="A122" s="21"/>
      <c r="B122" s="21"/>
      <c r="C122" s="22"/>
      <c r="D122" s="353"/>
      <c r="E122" s="73"/>
      <c r="F122" s="7"/>
      <c r="G122" s="7"/>
      <c r="H122" s="7"/>
      <c r="I122" s="180"/>
      <c r="J122" s="180"/>
      <c r="K122" s="284"/>
      <c r="L122" s="193"/>
      <c r="M122" s="180"/>
      <c r="N122" s="180"/>
      <c r="O122" s="180"/>
      <c r="P122" s="180"/>
      <c r="Q122" s="180"/>
      <c r="R122" s="180"/>
      <c r="S122" s="24"/>
      <c r="T122" s="182"/>
      <c r="U122" s="24"/>
      <c r="V122" s="32"/>
      <c r="W122" s="240"/>
      <c r="X122" s="64"/>
      <c r="Y122" s="75"/>
      <c r="Z122" s="64"/>
      <c r="AA122" s="64"/>
      <c r="AB122" s="25"/>
      <c r="AC122" s="23"/>
      <c r="AD122" s="23"/>
      <c r="AE122" s="23"/>
      <c r="AF122" s="335"/>
      <c r="AG122" s="336"/>
      <c r="AH122" s="334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</row>
    <row r="123" spans="1:346" s="26" customFormat="1" ht="12" hidden="1" customHeight="1" x14ac:dyDescent="0.25">
      <c r="A123" s="21"/>
      <c r="B123" s="21"/>
      <c r="C123" s="22"/>
      <c r="D123" s="353"/>
      <c r="E123" s="73"/>
      <c r="F123" s="7"/>
      <c r="G123" s="7"/>
      <c r="H123" s="7"/>
      <c r="I123" s="180"/>
      <c r="J123" s="180"/>
      <c r="K123" s="284"/>
      <c r="L123" s="193"/>
      <c r="M123" s="180"/>
      <c r="N123" s="180"/>
      <c r="O123" s="180"/>
      <c r="P123" s="180"/>
      <c r="Q123" s="180"/>
      <c r="R123" s="180"/>
      <c r="S123" s="24"/>
      <c r="T123" s="182"/>
      <c r="U123" s="24"/>
      <c r="V123" s="32"/>
      <c r="W123" s="240"/>
      <c r="X123" s="64"/>
      <c r="Y123" s="75"/>
      <c r="Z123" s="64"/>
      <c r="AA123" s="64"/>
      <c r="AB123" s="25"/>
      <c r="AC123" s="23"/>
      <c r="AD123" s="23"/>
      <c r="AE123" s="23"/>
      <c r="AF123" s="335"/>
      <c r="AG123" s="336"/>
      <c r="AH123" s="334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</row>
    <row r="124" spans="1:346" s="26" customFormat="1" ht="12" hidden="1" customHeight="1" x14ac:dyDescent="0.25">
      <c r="A124" s="21"/>
      <c r="B124" s="21"/>
      <c r="C124" s="22"/>
      <c r="D124" s="353"/>
      <c r="E124" s="73"/>
      <c r="F124" s="7"/>
      <c r="G124" s="7"/>
      <c r="H124" s="7"/>
      <c r="I124" s="180"/>
      <c r="J124" s="180"/>
      <c r="K124" s="284"/>
      <c r="L124" s="193"/>
      <c r="M124" s="180"/>
      <c r="N124" s="180"/>
      <c r="O124" s="180"/>
      <c r="P124" s="180"/>
      <c r="Q124" s="180"/>
      <c r="R124" s="180"/>
      <c r="S124" s="24"/>
      <c r="T124" s="182"/>
      <c r="U124" s="24"/>
      <c r="V124" s="32"/>
      <c r="W124" s="240"/>
      <c r="X124" s="64"/>
      <c r="Y124" s="75"/>
      <c r="Z124" s="64"/>
      <c r="AA124" s="64"/>
      <c r="AB124" s="25"/>
      <c r="AC124" s="23"/>
      <c r="AD124" s="23"/>
      <c r="AE124" s="23"/>
      <c r="AF124" s="335"/>
      <c r="AG124" s="336"/>
      <c r="AH124" s="334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</row>
    <row r="125" spans="1:346" s="26" customFormat="1" ht="12" hidden="1" customHeight="1" x14ac:dyDescent="0.25">
      <c r="A125" s="21"/>
      <c r="B125" s="21"/>
      <c r="C125" s="22"/>
      <c r="D125" s="353"/>
      <c r="E125" s="73"/>
      <c r="F125" s="7"/>
      <c r="G125" s="7"/>
      <c r="H125" s="7"/>
      <c r="I125" s="180"/>
      <c r="J125" s="180"/>
      <c r="K125" s="284"/>
      <c r="L125" s="193"/>
      <c r="M125" s="180"/>
      <c r="N125" s="180"/>
      <c r="O125" s="180"/>
      <c r="P125" s="180"/>
      <c r="Q125" s="180"/>
      <c r="R125" s="180"/>
      <c r="S125" s="24"/>
      <c r="T125" s="182"/>
      <c r="U125" s="24"/>
      <c r="V125" s="32"/>
      <c r="W125" s="240"/>
      <c r="X125" s="64"/>
      <c r="Y125" s="75"/>
      <c r="Z125" s="64"/>
      <c r="AA125" s="64"/>
      <c r="AB125" s="25"/>
      <c r="AC125" s="23"/>
      <c r="AD125" s="23"/>
      <c r="AE125" s="23"/>
      <c r="AF125" s="335"/>
      <c r="AG125" s="336"/>
      <c r="AH125" s="334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</row>
    <row r="126" spans="1:346" s="26" customFormat="1" ht="12" hidden="1" customHeight="1" x14ac:dyDescent="0.25">
      <c r="A126" s="21"/>
      <c r="B126" s="21"/>
      <c r="C126" s="22"/>
      <c r="D126" s="353"/>
      <c r="E126" s="73"/>
      <c r="F126" s="7"/>
      <c r="G126" s="7"/>
      <c r="H126" s="7"/>
      <c r="I126" s="180"/>
      <c r="J126" s="180"/>
      <c r="K126" s="284"/>
      <c r="L126" s="193"/>
      <c r="M126" s="180"/>
      <c r="N126" s="180"/>
      <c r="O126" s="180"/>
      <c r="P126" s="180"/>
      <c r="Q126" s="180"/>
      <c r="R126" s="180"/>
      <c r="S126" s="24"/>
      <c r="T126" s="182"/>
      <c r="U126" s="24"/>
      <c r="V126" s="32"/>
      <c r="W126" s="240"/>
      <c r="X126" s="64"/>
      <c r="Y126" s="75"/>
      <c r="Z126" s="64"/>
      <c r="AA126" s="64"/>
      <c r="AB126" s="25"/>
      <c r="AC126" s="23"/>
      <c r="AD126" s="23"/>
      <c r="AE126" s="23"/>
      <c r="AF126" s="335"/>
      <c r="AG126" s="336"/>
      <c r="AH126" s="334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</row>
    <row r="127" spans="1:346" s="26" customFormat="1" ht="12" hidden="1" customHeight="1" x14ac:dyDescent="0.25">
      <c r="A127" s="21"/>
      <c r="B127" s="21"/>
      <c r="C127" s="22"/>
      <c r="D127" s="353"/>
      <c r="E127" s="73"/>
      <c r="F127" s="7"/>
      <c r="G127" s="7"/>
      <c r="H127" s="7"/>
      <c r="I127" s="180"/>
      <c r="J127" s="180"/>
      <c r="K127" s="284"/>
      <c r="L127" s="193"/>
      <c r="M127" s="180"/>
      <c r="N127" s="180"/>
      <c r="O127" s="180"/>
      <c r="P127" s="180"/>
      <c r="Q127" s="180"/>
      <c r="R127" s="180"/>
      <c r="S127" s="24"/>
      <c r="T127" s="182"/>
      <c r="U127" s="24"/>
      <c r="V127" s="32"/>
      <c r="W127" s="240"/>
      <c r="X127" s="64"/>
      <c r="Y127" s="75"/>
      <c r="Z127" s="64"/>
      <c r="AA127" s="64"/>
      <c r="AB127" s="25"/>
      <c r="AC127" s="23"/>
      <c r="AD127" s="23"/>
      <c r="AE127" s="23"/>
      <c r="AF127" s="335"/>
      <c r="AG127" s="336"/>
      <c r="AH127" s="334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</row>
    <row r="128" spans="1:346" s="26" customFormat="1" ht="12" hidden="1" customHeight="1" x14ac:dyDescent="0.25">
      <c r="A128" s="21"/>
      <c r="B128" s="21"/>
      <c r="C128" s="22"/>
      <c r="D128" s="353"/>
      <c r="E128" s="73"/>
      <c r="F128" s="7"/>
      <c r="G128" s="7"/>
      <c r="H128" s="7"/>
      <c r="I128" s="180"/>
      <c r="J128" s="180"/>
      <c r="K128" s="284"/>
      <c r="L128" s="193"/>
      <c r="M128" s="180"/>
      <c r="N128" s="180"/>
      <c r="O128" s="180"/>
      <c r="P128" s="180"/>
      <c r="Q128" s="180"/>
      <c r="R128" s="180"/>
      <c r="S128" s="24"/>
      <c r="T128" s="182"/>
      <c r="U128" s="24"/>
      <c r="V128" s="32"/>
      <c r="W128" s="240"/>
      <c r="X128" s="64"/>
      <c r="Y128" s="75"/>
      <c r="Z128" s="64"/>
      <c r="AA128" s="64"/>
      <c r="AB128" s="25"/>
      <c r="AC128" s="23"/>
      <c r="AD128" s="23"/>
      <c r="AE128" s="23"/>
      <c r="AF128" s="335"/>
      <c r="AG128" s="336"/>
      <c r="AH128" s="334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</row>
    <row r="129" spans="1:346" s="26" customFormat="1" ht="12" hidden="1" customHeight="1" x14ac:dyDescent="0.25">
      <c r="A129" s="21"/>
      <c r="B129" s="21"/>
      <c r="C129" s="22"/>
      <c r="D129" s="353"/>
      <c r="E129" s="73"/>
      <c r="F129" s="7"/>
      <c r="G129" s="7"/>
      <c r="H129" s="7"/>
      <c r="I129" s="180"/>
      <c r="J129" s="180"/>
      <c r="K129" s="284"/>
      <c r="L129" s="193"/>
      <c r="M129" s="180"/>
      <c r="N129" s="180"/>
      <c r="O129" s="180"/>
      <c r="P129" s="180"/>
      <c r="Q129" s="180"/>
      <c r="R129" s="180"/>
      <c r="S129" s="24"/>
      <c r="T129" s="182"/>
      <c r="U129" s="24"/>
      <c r="V129" s="32"/>
      <c r="W129" s="240"/>
      <c r="X129" s="64"/>
      <c r="Y129" s="75"/>
      <c r="Z129" s="64"/>
      <c r="AA129" s="64"/>
      <c r="AB129" s="25"/>
      <c r="AC129" s="23"/>
      <c r="AD129" s="23"/>
      <c r="AE129" s="23"/>
      <c r="AF129" s="335"/>
      <c r="AG129" s="336"/>
      <c r="AH129" s="334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</row>
    <row r="130" spans="1:346" s="26" customFormat="1" ht="12" hidden="1" customHeight="1" x14ac:dyDescent="0.25">
      <c r="A130" s="21"/>
      <c r="B130" s="21"/>
      <c r="C130" s="22"/>
      <c r="D130" s="353"/>
      <c r="E130" s="73"/>
      <c r="F130" s="7"/>
      <c r="G130" s="7"/>
      <c r="H130" s="7"/>
      <c r="I130" s="180"/>
      <c r="J130" s="180"/>
      <c r="K130" s="284"/>
      <c r="L130" s="193"/>
      <c r="M130" s="180"/>
      <c r="N130" s="180"/>
      <c r="O130" s="180"/>
      <c r="P130" s="180"/>
      <c r="Q130" s="180"/>
      <c r="R130" s="180"/>
      <c r="S130" s="24"/>
      <c r="T130" s="182"/>
      <c r="U130" s="24"/>
      <c r="V130" s="32"/>
      <c r="W130" s="240"/>
      <c r="X130" s="64"/>
      <c r="Y130" s="75"/>
      <c r="Z130" s="64"/>
      <c r="AA130" s="64"/>
      <c r="AB130" s="25"/>
      <c r="AC130" s="23"/>
      <c r="AD130" s="23"/>
      <c r="AE130" s="23"/>
      <c r="AF130" s="335"/>
      <c r="AG130" s="336"/>
      <c r="AH130" s="334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</row>
    <row r="131" spans="1:346" s="26" customFormat="1" ht="12" hidden="1" customHeight="1" x14ac:dyDescent="0.25">
      <c r="A131" s="21"/>
      <c r="B131" s="21"/>
      <c r="C131" s="22"/>
      <c r="D131" s="353"/>
      <c r="E131" s="73"/>
      <c r="F131" s="7"/>
      <c r="G131" s="7"/>
      <c r="H131" s="7"/>
      <c r="I131" s="180"/>
      <c r="J131" s="180"/>
      <c r="K131" s="284"/>
      <c r="L131" s="193"/>
      <c r="M131" s="180"/>
      <c r="N131" s="180"/>
      <c r="O131" s="180"/>
      <c r="P131" s="180"/>
      <c r="Q131" s="180"/>
      <c r="R131" s="180"/>
      <c r="S131" s="24"/>
      <c r="T131" s="182"/>
      <c r="U131" s="24"/>
      <c r="V131" s="32"/>
      <c r="W131" s="240"/>
      <c r="X131" s="64"/>
      <c r="Y131" s="75"/>
      <c r="Z131" s="64"/>
      <c r="AA131" s="64"/>
      <c r="AB131" s="25"/>
      <c r="AC131" s="23"/>
      <c r="AD131" s="23"/>
      <c r="AE131" s="23"/>
      <c r="AF131" s="335"/>
      <c r="AG131" s="336"/>
      <c r="AH131" s="334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</row>
    <row r="132" spans="1:346" s="26" customFormat="1" ht="12" hidden="1" customHeight="1" x14ac:dyDescent="0.25">
      <c r="A132" s="21"/>
      <c r="B132" s="21"/>
      <c r="C132" s="22"/>
      <c r="D132" s="353"/>
      <c r="E132" s="73"/>
      <c r="F132" s="7"/>
      <c r="G132" s="7"/>
      <c r="H132" s="7"/>
      <c r="I132" s="180"/>
      <c r="J132" s="180"/>
      <c r="K132" s="284"/>
      <c r="L132" s="193"/>
      <c r="M132" s="180"/>
      <c r="N132" s="180"/>
      <c r="O132" s="180"/>
      <c r="P132" s="180"/>
      <c r="Q132" s="180"/>
      <c r="R132" s="180"/>
      <c r="S132" s="24"/>
      <c r="T132" s="182"/>
      <c r="U132" s="24"/>
      <c r="V132" s="32"/>
      <c r="W132" s="240"/>
      <c r="X132" s="64"/>
      <c r="Y132" s="75"/>
      <c r="Z132" s="64"/>
      <c r="AA132" s="64"/>
      <c r="AB132" s="25"/>
      <c r="AC132" s="23"/>
      <c r="AD132" s="23"/>
      <c r="AE132" s="23"/>
      <c r="AF132" s="335"/>
      <c r="AG132" s="336"/>
      <c r="AH132" s="334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</row>
    <row r="133" spans="1:346" s="26" customFormat="1" ht="12" hidden="1" customHeight="1" x14ac:dyDescent="0.25">
      <c r="A133" s="21"/>
      <c r="B133" s="21"/>
      <c r="C133" s="22"/>
      <c r="D133" s="353"/>
      <c r="E133" s="73"/>
      <c r="F133" s="7"/>
      <c r="G133" s="7"/>
      <c r="H133" s="7"/>
      <c r="I133" s="180"/>
      <c r="J133" s="180"/>
      <c r="K133" s="284"/>
      <c r="L133" s="193"/>
      <c r="M133" s="180"/>
      <c r="N133" s="180"/>
      <c r="O133" s="180"/>
      <c r="P133" s="180"/>
      <c r="Q133" s="180"/>
      <c r="R133" s="180"/>
      <c r="S133" s="24"/>
      <c r="T133" s="182"/>
      <c r="U133" s="24"/>
      <c r="V133" s="32"/>
      <c r="W133" s="240"/>
      <c r="X133" s="64"/>
      <c r="Y133" s="75"/>
      <c r="Z133" s="64"/>
      <c r="AA133" s="64"/>
      <c r="AB133" s="25"/>
      <c r="AC133" s="23"/>
      <c r="AD133" s="23"/>
      <c r="AE133" s="23"/>
      <c r="AF133" s="335"/>
      <c r="AG133" s="336"/>
      <c r="AH133" s="334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</row>
    <row r="134" spans="1:346" s="26" customFormat="1" ht="12" hidden="1" customHeight="1" x14ac:dyDescent="0.25">
      <c r="A134" s="21"/>
      <c r="B134" s="21"/>
      <c r="C134" s="22"/>
      <c r="D134" s="353"/>
      <c r="E134" s="73"/>
      <c r="F134" s="7"/>
      <c r="G134" s="7"/>
      <c r="H134" s="7"/>
      <c r="I134" s="180"/>
      <c r="J134" s="180"/>
      <c r="K134" s="284"/>
      <c r="L134" s="193"/>
      <c r="M134" s="180"/>
      <c r="N134" s="180"/>
      <c r="O134" s="180"/>
      <c r="P134" s="180"/>
      <c r="Q134" s="180"/>
      <c r="R134" s="180"/>
      <c r="S134" s="24"/>
      <c r="T134" s="182"/>
      <c r="U134" s="24"/>
      <c r="V134" s="32"/>
      <c r="W134" s="240"/>
      <c r="X134" s="64"/>
      <c r="Y134" s="75"/>
      <c r="Z134" s="64"/>
      <c r="AA134" s="64"/>
      <c r="AB134" s="25"/>
      <c r="AC134" s="23"/>
      <c r="AD134" s="23"/>
      <c r="AE134" s="23"/>
      <c r="AF134" s="335"/>
      <c r="AG134" s="336"/>
      <c r="AH134" s="334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</row>
    <row r="135" spans="1:346" s="26" customFormat="1" ht="12" hidden="1" customHeight="1" x14ac:dyDescent="0.25">
      <c r="A135" s="21"/>
      <c r="B135" s="21"/>
      <c r="C135" s="22"/>
      <c r="D135" s="353"/>
      <c r="E135" s="73"/>
      <c r="F135" s="7"/>
      <c r="G135" s="7"/>
      <c r="H135" s="7"/>
      <c r="I135" s="180"/>
      <c r="J135" s="180"/>
      <c r="K135" s="284"/>
      <c r="L135" s="193"/>
      <c r="M135" s="180"/>
      <c r="N135" s="180"/>
      <c r="O135" s="180"/>
      <c r="P135" s="180"/>
      <c r="Q135" s="180"/>
      <c r="R135" s="180"/>
      <c r="S135" s="24"/>
      <c r="T135" s="182"/>
      <c r="U135" s="24"/>
      <c r="V135" s="32"/>
      <c r="W135" s="240"/>
      <c r="X135" s="64"/>
      <c r="Y135" s="75"/>
      <c r="Z135" s="64"/>
      <c r="AA135" s="64"/>
      <c r="AB135" s="25"/>
      <c r="AC135" s="23"/>
      <c r="AD135" s="23"/>
      <c r="AE135" s="23"/>
      <c r="AF135" s="335"/>
      <c r="AG135" s="336"/>
      <c r="AH135" s="334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</row>
    <row r="136" spans="1:346" s="26" customFormat="1" ht="12" hidden="1" customHeight="1" x14ac:dyDescent="0.25">
      <c r="A136" s="21"/>
      <c r="B136" s="21"/>
      <c r="C136" s="22"/>
      <c r="D136" s="353"/>
      <c r="E136" s="73"/>
      <c r="F136" s="7"/>
      <c r="G136" s="7"/>
      <c r="H136" s="7"/>
      <c r="I136" s="180"/>
      <c r="J136" s="180"/>
      <c r="K136" s="284"/>
      <c r="L136" s="193"/>
      <c r="M136" s="180"/>
      <c r="N136" s="180"/>
      <c r="O136" s="180"/>
      <c r="P136" s="180"/>
      <c r="Q136" s="180"/>
      <c r="R136" s="180"/>
      <c r="S136" s="24"/>
      <c r="T136" s="182"/>
      <c r="U136" s="24"/>
      <c r="V136" s="32"/>
      <c r="W136" s="240"/>
      <c r="X136" s="64"/>
      <c r="Y136" s="75"/>
      <c r="Z136" s="64"/>
      <c r="AA136" s="64"/>
      <c r="AB136" s="25"/>
      <c r="AC136" s="23"/>
      <c r="AD136" s="23"/>
      <c r="AE136" s="23"/>
      <c r="AF136" s="335"/>
      <c r="AG136" s="336"/>
      <c r="AH136" s="334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</row>
    <row r="137" spans="1:346" s="26" customFormat="1" ht="12" hidden="1" customHeight="1" x14ac:dyDescent="0.25">
      <c r="A137" s="21"/>
      <c r="B137" s="21"/>
      <c r="C137" s="22"/>
      <c r="D137" s="353"/>
      <c r="E137" s="73"/>
      <c r="F137" s="7"/>
      <c r="G137" s="7"/>
      <c r="H137" s="7"/>
      <c r="I137" s="180"/>
      <c r="J137" s="180"/>
      <c r="K137" s="284"/>
      <c r="L137" s="193"/>
      <c r="M137" s="180"/>
      <c r="N137" s="180"/>
      <c r="O137" s="180"/>
      <c r="P137" s="180"/>
      <c r="Q137" s="180"/>
      <c r="R137" s="180"/>
      <c r="S137" s="24"/>
      <c r="T137" s="182"/>
      <c r="U137" s="24"/>
      <c r="V137" s="32"/>
      <c r="W137" s="240"/>
      <c r="X137" s="64"/>
      <c r="Y137" s="75"/>
      <c r="Z137" s="64"/>
      <c r="AA137" s="64"/>
      <c r="AB137" s="25"/>
      <c r="AC137" s="23"/>
      <c r="AD137" s="23"/>
      <c r="AE137" s="23"/>
      <c r="AF137" s="335"/>
      <c r="AG137" s="336"/>
      <c r="AH137" s="334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</row>
    <row r="138" spans="1:346" s="26" customFormat="1" ht="12" hidden="1" customHeight="1" x14ac:dyDescent="0.25">
      <c r="A138" s="21"/>
      <c r="B138" s="21"/>
      <c r="C138" s="22"/>
      <c r="D138" s="353"/>
      <c r="E138" s="73"/>
      <c r="F138" s="7"/>
      <c r="G138" s="7"/>
      <c r="H138" s="7"/>
      <c r="I138" s="180"/>
      <c r="J138" s="180"/>
      <c r="K138" s="284"/>
      <c r="L138" s="193"/>
      <c r="M138" s="180"/>
      <c r="N138" s="180"/>
      <c r="O138" s="180"/>
      <c r="P138" s="180"/>
      <c r="Q138" s="180"/>
      <c r="R138" s="180"/>
      <c r="S138" s="24"/>
      <c r="T138" s="182"/>
      <c r="U138" s="24"/>
      <c r="V138" s="32"/>
      <c r="W138" s="240"/>
      <c r="X138" s="64"/>
      <c r="Y138" s="75"/>
      <c r="Z138" s="64"/>
      <c r="AA138" s="64"/>
      <c r="AB138" s="25"/>
      <c r="AC138" s="23"/>
      <c r="AD138" s="23"/>
      <c r="AE138" s="23"/>
      <c r="AF138" s="335"/>
      <c r="AG138" s="336"/>
      <c r="AH138" s="334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</row>
    <row r="139" spans="1:346" s="26" customFormat="1" ht="12" hidden="1" customHeight="1" x14ac:dyDescent="0.25">
      <c r="A139" s="21"/>
      <c r="B139" s="21"/>
      <c r="C139" s="22"/>
      <c r="D139" s="353"/>
      <c r="E139" s="73"/>
      <c r="F139" s="7"/>
      <c r="G139" s="7"/>
      <c r="H139" s="7"/>
      <c r="I139" s="180"/>
      <c r="J139" s="180"/>
      <c r="K139" s="284"/>
      <c r="L139" s="193"/>
      <c r="M139" s="180"/>
      <c r="N139" s="180"/>
      <c r="O139" s="180"/>
      <c r="P139" s="180"/>
      <c r="Q139" s="180"/>
      <c r="R139" s="180"/>
      <c r="S139" s="24"/>
      <c r="T139" s="182"/>
      <c r="U139" s="24"/>
      <c r="V139" s="32"/>
      <c r="W139" s="240"/>
      <c r="X139" s="64"/>
      <c r="Y139" s="75"/>
      <c r="Z139" s="64"/>
      <c r="AA139" s="64"/>
      <c r="AB139" s="25"/>
      <c r="AC139" s="23"/>
      <c r="AD139" s="23"/>
      <c r="AE139" s="23"/>
      <c r="AF139" s="335"/>
      <c r="AG139" s="336"/>
      <c r="AH139" s="334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</row>
    <row r="140" spans="1:346" s="26" customFormat="1" ht="12" hidden="1" customHeight="1" x14ac:dyDescent="0.25">
      <c r="A140" s="21"/>
      <c r="B140" s="21"/>
      <c r="C140" s="22"/>
      <c r="D140" s="353"/>
      <c r="E140" s="73"/>
      <c r="F140" s="7"/>
      <c r="G140" s="7"/>
      <c r="H140" s="7"/>
      <c r="I140" s="180"/>
      <c r="J140" s="180"/>
      <c r="K140" s="284"/>
      <c r="L140" s="193"/>
      <c r="M140" s="180"/>
      <c r="N140" s="180"/>
      <c r="O140" s="180"/>
      <c r="P140" s="180"/>
      <c r="Q140" s="180"/>
      <c r="R140" s="180"/>
      <c r="S140" s="24"/>
      <c r="T140" s="182"/>
      <c r="U140" s="24"/>
      <c r="V140" s="32"/>
      <c r="W140" s="240"/>
      <c r="X140" s="64"/>
      <c r="Y140" s="75"/>
      <c r="Z140" s="64"/>
      <c r="AA140" s="64"/>
      <c r="AB140" s="25"/>
      <c r="AC140" s="23"/>
      <c r="AD140" s="23"/>
      <c r="AE140" s="23"/>
      <c r="AF140" s="335"/>
      <c r="AG140" s="336"/>
      <c r="AH140" s="334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</row>
    <row r="141" spans="1:346" s="26" customFormat="1" ht="12" hidden="1" customHeight="1" x14ac:dyDescent="0.25">
      <c r="A141" s="21"/>
      <c r="B141" s="21"/>
      <c r="C141" s="22"/>
      <c r="D141" s="353"/>
      <c r="E141" s="73"/>
      <c r="F141" s="7"/>
      <c r="G141" s="7"/>
      <c r="H141" s="7"/>
      <c r="I141" s="180"/>
      <c r="J141" s="180"/>
      <c r="K141" s="284"/>
      <c r="L141" s="193"/>
      <c r="M141" s="180"/>
      <c r="N141" s="180"/>
      <c r="O141" s="180"/>
      <c r="P141" s="180"/>
      <c r="Q141" s="180"/>
      <c r="R141" s="180"/>
      <c r="S141" s="24"/>
      <c r="T141" s="182"/>
      <c r="U141" s="24"/>
      <c r="V141" s="32"/>
      <c r="W141" s="240"/>
      <c r="X141" s="64"/>
      <c r="Y141" s="75"/>
      <c r="Z141" s="64"/>
      <c r="AA141" s="64"/>
      <c r="AB141" s="25"/>
      <c r="AC141" s="23"/>
      <c r="AD141" s="23"/>
      <c r="AE141" s="23"/>
      <c r="AF141" s="335"/>
      <c r="AG141" s="336"/>
      <c r="AH141" s="334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</row>
    <row r="142" spans="1:346" s="26" customFormat="1" ht="12" hidden="1" customHeight="1" x14ac:dyDescent="0.25">
      <c r="A142" s="21"/>
      <c r="B142" s="21"/>
      <c r="C142" s="22"/>
      <c r="D142" s="353"/>
      <c r="E142" s="73"/>
      <c r="F142" s="7"/>
      <c r="G142" s="7"/>
      <c r="H142" s="7"/>
      <c r="I142" s="180"/>
      <c r="J142" s="180"/>
      <c r="K142" s="284"/>
      <c r="L142" s="193"/>
      <c r="M142" s="180"/>
      <c r="N142" s="180"/>
      <c r="O142" s="180"/>
      <c r="P142" s="180"/>
      <c r="Q142" s="180"/>
      <c r="R142" s="180"/>
      <c r="S142" s="24"/>
      <c r="T142" s="182"/>
      <c r="U142" s="24"/>
      <c r="V142" s="32"/>
      <c r="W142" s="240"/>
      <c r="X142" s="64"/>
      <c r="Y142" s="75"/>
      <c r="Z142" s="64"/>
      <c r="AA142" s="64"/>
      <c r="AB142" s="25"/>
      <c r="AC142" s="23"/>
      <c r="AD142" s="23"/>
      <c r="AE142" s="23"/>
      <c r="AF142" s="335"/>
      <c r="AG142" s="336"/>
      <c r="AH142" s="334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</row>
    <row r="143" spans="1:346" s="26" customFormat="1" ht="12" hidden="1" customHeight="1" x14ac:dyDescent="0.25">
      <c r="A143" s="21"/>
      <c r="B143" s="21"/>
      <c r="C143" s="22"/>
      <c r="D143" s="353"/>
      <c r="E143" s="73"/>
      <c r="F143" s="7"/>
      <c r="G143" s="7"/>
      <c r="H143" s="7"/>
      <c r="I143" s="180"/>
      <c r="J143" s="180"/>
      <c r="K143" s="284"/>
      <c r="L143" s="193"/>
      <c r="M143" s="180"/>
      <c r="N143" s="180"/>
      <c r="O143" s="180"/>
      <c r="P143" s="180"/>
      <c r="Q143" s="180"/>
      <c r="R143" s="180"/>
      <c r="S143" s="24"/>
      <c r="T143" s="182"/>
      <c r="U143" s="24"/>
      <c r="V143" s="32"/>
      <c r="W143" s="240"/>
      <c r="X143" s="64"/>
      <c r="Y143" s="75"/>
      <c r="Z143" s="64"/>
      <c r="AA143" s="64"/>
      <c r="AB143" s="25"/>
      <c r="AC143" s="23"/>
      <c r="AD143" s="23"/>
      <c r="AE143" s="23"/>
      <c r="AF143" s="335"/>
      <c r="AG143" s="336"/>
      <c r="AH143" s="334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</row>
    <row r="144" spans="1:346" s="26" customFormat="1" ht="12" hidden="1" customHeight="1" x14ac:dyDescent="0.25">
      <c r="A144" s="21"/>
      <c r="B144" s="21"/>
      <c r="C144" s="22"/>
      <c r="D144" s="353"/>
      <c r="E144" s="73"/>
      <c r="F144" s="7"/>
      <c r="G144" s="7"/>
      <c r="H144" s="7"/>
      <c r="I144" s="180"/>
      <c r="J144" s="180"/>
      <c r="K144" s="284"/>
      <c r="L144" s="193"/>
      <c r="M144" s="180"/>
      <c r="N144" s="180"/>
      <c r="O144" s="180"/>
      <c r="P144" s="180"/>
      <c r="Q144" s="180"/>
      <c r="R144" s="180"/>
      <c r="S144" s="24"/>
      <c r="T144" s="182"/>
      <c r="U144" s="24"/>
      <c r="V144" s="32"/>
      <c r="W144" s="240"/>
      <c r="X144" s="64"/>
      <c r="Y144" s="75"/>
      <c r="Z144" s="64"/>
      <c r="AA144" s="64"/>
      <c r="AB144" s="25"/>
      <c r="AC144" s="23"/>
      <c r="AD144" s="23"/>
      <c r="AE144" s="23"/>
      <c r="AF144" s="335"/>
      <c r="AG144" s="336"/>
      <c r="AH144" s="334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</row>
    <row r="145" spans="1:346" s="26" customFormat="1" ht="12" hidden="1" customHeight="1" x14ac:dyDescent="0.25">
      <c r="A145" s="21"/>
      <c r="B145" s="21"/>
      <c r="C145" s="22"/>
      <c r="D145" s="353"/>
      <c r="E145" s="73"/>
      <c r="F145" s="7"/>
      <c r="G145" s="7"/>
      <c r="H145" s="7"/>
      <c r="I145" s="180"/>
      <c r="J145" s="180"/>
      <c r="K145" s="284"/>
      <c r="L145" s="193"/>
      <c r="M145" s="180"/>
      <c r="N145" s="180"/>
      <c r="O145" s="180"/>
      <c r="P145" s="180"/>
      <c r="Q145" s="180"/>
      <c r="R145" s="180"/>
      <c r="S145" s="24"/>
      <c r="T145" s="182"/>
      <c r="U145" s="24"/>
      <c r="V145" s="32"/>
      <c r="W145" s="240"/>
      <c r="X145" s="64"/>
      <c r="Y145" s="75"/>
      <c r="Z145" s="64"/>
      <c r="AA145" s="64"/>
      <c r="AB145" s="25"/>
      <c r="AC145" s="23"/>
      <c r="AD145" s="23"/>
      <c r="AE145" s="23"/>
      <c r="AF145" s="335"/>
      <c r="AG145" s="336"/>
      <c r="AH145" s="334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</row>
    <row r="146" spans="1:346" s="26" customFormat="1" ht="12" hidden="1" customHeight="1" x14ac:dyDescent="0.25">
      <c r="A146" s="21"/>
      <c r="B146" s="21"/>
      <c r="C146" s="22"/>
      <c r="D146" s="353"/>
      <c r="E146" s="73"/>
      <c r="F146" s="7"/>
      <c r="G146" s="7"/>
      <c r="H146" s="7"/>
      <c r="I146" s="180"/>
      <c r="J146" s="180"/>
      <c r="K146" s="284"/>
      <c r="L146" s="193"/>
      <c r="M146" s="180"/>
      <c r="N146" s="180"/>
      <c r="O146" s="180"/>
      <c r="P146" s="180"/>
      <c r="Q146" s="180"/>
      <c r="R146" s="180"/>
      <c r="S146" s="24"/>
      <c r="T146" s="182"/>
      <c r="U146" s="24"/>
      <c r="V146" s="32"/>
      <c r="W146" s="240"/>
      <c r="X146" s="64"/>
      <c r="Y146" s="75"/>
      <c r="Z146" s="64"/>
      <c r="AA146" s="64"/>
      <c r="AB146" s="25"/>
      <c r="AC146" s="23"/>
      <c r="AD146" s="23"/>
      <c r="AE146" s="23"/>
      <c r="AF146" s="335"/>
      <c r="AG146" s="336"/>
      <c r="AH146" s="334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</row>
    <row r="147" spans="1:346" s="26" customFormat="1" ht="12" hidden="1" customHeight="1" x14ac:dyDescent="0.25">
      <c r="A147" s="21"/>
      <c r="B147" s="21"/>
      <c r="C147" s="22"/>
      <c r="D147" s="353"/>
      <c r="E147" s="73"/>
      <c r="F147" s="7"/>
      <c r="G147" s="7"/>
      <c r="H147" s="7"/>
      <c r="I147" s="180"/>
      <c r="J147" s="180"/>
      <c r="K147" s="284"/>
      <c r="L147" s="193"/>
      <c r="M147" s="180"/>
      <c r="N147" s="180"/>
      <c r="O147" s="180"/>
      <c r="P147" s="180"/>
      <c r="Q147" s="180"/>
      <c r="R147" s="180"/>
      <c r="S147" s="24"/>
      <c r="T147" s="182"/>
      <c r="U147" s="24"/>
      <c r="V147" s="32"/>
      <c r="W147" s="240"/>
      <c r="X147" s="64"/>
      <c r="Y147" s="75"/>
      <c r="Z147" s="64"/>
      <c r="AA147" s="64"/>
      <c r="AB147" s="25"/>
      <c r="AC147" s="23"/>
      <c r="AD147" s="23"/>
      <c r="AE147" s="23"/>
      <c r="AF147" s="335"/>
      <c r="AG147" s="336"/>
      <c r="AH147" s="334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</row>
    <row r="148" spans="1:346" s="26" customFormat="1" ht="12" hidden="1" customHeight="1" x14ac:dyDescent="0.25">
      <c r="A148" s="21"/>
      <c r="B148" s="21"/>
      <c r="C148" s="22"/>
      <c r="D148" s="353"/>
      <c r="E148" s="73"/>
      <c r="F148" s="7"/>
      <c r="G148" s="7"/>
      <c r="H148" s="7"/>
      <c r="I148" s="180"/>
      <c r="J148" s="180"/>
      <c r="K148" s="284"/>
      <c r="L148" s="193"/>
      <c r="M148" s="180"/>
      <c r="N148" s="180"/>
      <c r="O148" s="180"/>
      <c r="P148" s="180"/>
      <c r="Q148" s="180"/>
      <c r="R148" s="180"/>
      <c r="S148" s="24"/>
      <c r="T148" s="182"/>
      <c r="U148" s="24"/>
      <c r="V148" s="32"/>
      <c r="W148" s="240"/>
      <c r="X148" s="64"/>
      <c r="Y148" s="75"/>
      <c r="Z148" s="64"/>
      <c r="AA148" s="64"/>
      <c r="AB148" s="25"/>
      <c r="AC148" s="23"/>
      <c r="AD148" s="23"/>
      <c r="AE148" s="23"/>
      <c r="AF148" s="335"/>
      <c r="AG148" s="336"/>
      <c r="AH148" s="334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</row>
    <row r="149" spans="1:346" s="26" customFormat="1" ht="12" hidden="1" customHeight="1" x14ac:dyDescent="0.25">
      <c r="A149" s="21"/>
      <c r="B149" s="21"/>
      <c r="C149" s="22"/>
      <c r="D149" s="353"/>
      <c r="E149" s="73"/>
      <c r="F149" s="7"/>
      <c r="G149" s="7"/>
      <c r="H149" s="7"/>
      <c r="I149" s="180"/>
      <c r="J149" s="180"/>
      <c r="K149" s="284"/>
      <c r="L149" s="193"/>
      <c r="M149" s="180"/>
      <c r="N149" s="180"/>
      <c r="O149" s="180"/>
      <c r="P149" s="180"/>
      <c r="Q149" s="180"/>
      <c r="R149" s="180"/>
      <c r="S149" s="24"/>
      <c r="T149" s="182"/>
      <c r="U149" s="24"/>
      <c r="V149" s="32"/>
      <c r="W149" s="240"/>
      <c r="X149" s="64"/>
      <c r="Y149" s="75"/>
      <c r="Z149" s="64"/>
      <c r="AA149" s="64"/>
      <c r="AB149" s="25"/>
      <c r="AC149" s="23"/>
      <c r="AD149" s="23"/>
      <c r="AE149" s="23"/>
      <c r="AF149" s="335"/>
      <c r="AG149" s="336"/>
      <c r="AH149" s="334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</row>
    <row r="150" spans="1:346" s="26" customFormat="1" ht="12" hidden="1" customHeight="1" x14ac:dyDescent="0.25">
      <c r="A150" s="21"/>
      <c r="B150" s="21"/>
      <c r="C150" s="22"/>
      <c r="D150" s="353"/>
      <c r="E150" s="73"/>
      <c r="F150" s="7"/>
      <c r="G150" s="7"/>
      <c r="H150" s="7"/>
      <c r="I150" s="180"/>
      <c r="J150" s="180"/>
      <c r="K150" s="284"/>
      <c r="L150" s="193"/>
      <c r="M150" s="180"/>
      <c r="N150" s="180"/>
      <c r="O150" s="180"/>
      <c r="P150" s="180"/>
      <c r="Q150" s="180"/>
      <c r="R150" s="180"/>
      <c r="S150" s="24"/>
      <c r="T150" s="182"/>
      <c r="U150" s="24"/>
      <c r="V150" s="32"/>
      <c r="W150" s="240"/>
      <c r="X150" s="64"/>
      <c r="Y150" s="75"/>
      <c r="Z150" s="64"/>
      <c r="AA150" s="64"/>
      <c r="AB150" s="25"/>
      <c r="AC150" s="23"/>
      <c r="AD150" s="23"/>
      <c r="AE150" s="23"/>
      <c r="AF150" s="335"/>
      <c r="AG150" s="336"/>
      <c r="AH150" s="334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</row>
    <row r="151" spans="1:346" s="26" customFormat="1" ht="12" hidden="1" customHeight="1" x14ac:dyDescent="0.25">
      <c r="A151" s="21"/>
      <c r="B151" s="21"/>
      <c r="C151" s="22"/>
      <c r="D151" s="353"/>
      <c r="E151" s="73"/>
      <c r="F151" s="7"/>
      <c r="G151" s="7"/>
      <c r="H151" s="7"/>
      <c r="I151" s="180"/>
      <c r="J151" s="180"/>
      <c r="K151" s="284"/>
      <c r="L151" s="193"/>
      <c r="M151" s="180"/>
      <c r="N151" s="180"/>
      <c r="O151" s="180"/>
      <c r="P151" s="180"/>
      <c r="Q151" s="180"/>
      <c r="R151" s="180"/>
      <c r="S151" s="24"/>
      <c r="T151" s="182"/>
      <c r="U151" s="24"/>
      <c r="V151" s="32"/>
      <c r="W151" s="240"/>
      <c r="X151" s="64"/>
      <c r="Y151" s="75"/>
      <c r="Z151" s="64"/>
      <c r="AA151" s="64"/>
      <c r="AB151" s="25"/>
      <c r="AC151" s="23"/>
      <c r="AD151" s="23"/>
      <c r="AE151" s="23"/>
      <c r="AF151" s="335"/>
      <c r="AG151" s="336"/>
      <c r="AH151" s="334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</row>
    <row r="152" spans="1:346" s="26" customFormat="1" ht="12" hidden="1" customHeight="1" x14ac:dyDescent="0.25">
      <c r="A152" s="21"/>
      <c r="B152" s="21"/>
      <c r="C152" s="22"/>
      <c r="D152" s="353"/>
      <c r="E152" s="73"/>
      <c r="F152" s="7"/>
      <c r="G152" s="7"/>
      <c r="H152" s="7"/>
      <c r="I152" s="180"/>
      <c r="J152" s="180"/>
      <c r="K152" s="284"/>
      <c r="L152" s="193"/>
      <c r="M152" s="180"/>
      <c r="N152" s="180"/>
      <c r="O152" s="180"/>
      <c r="P152" s="180"/>
      <c r="Q152" s="180"/>
      <c r="R152" s="180"/>
      <c r="S152" s="24"/>
      <c r="T152" s="182"/>
      <c r="U152" s="24"/>
      <c r="V152" s="32"/>
      <c r="W152" s="240"/>
      <c r="X152" s="64"/>
      <c r="Y152" s="75"/>
      <c r="Z152" s="64"/>
      <c r="AA152" s="64"/>
      <c r="AB152" s="25"/>
      <c r="AC152" s="23"/>
      <c r="AD152" s="23"/>
      <c r="AE152" s="23"/>
      <c r="AF152" s="335"/>
      <c r="AG152" s="336"/>
      <c r="AH152" s="334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</row>
    <row r="153" spans="1:346" s="26" customFormat="1" ht="12" hidden="1" customHeight="1" x14ac:dyDescent="0.25">
      <c r="A153" s="21"/>
      <c r="B153" s="21"/>
      <c r="C153" s="22"/>
      <c r="D153" s="353"/>
      <c r="E153" s="73"/>
      <c r="F153" s="7"/>
      <c r="G153" s="7"/>
      <c r="H153" s="7"/>
      <c r="I153" s="180"/>
      <c r="J153" s="180"/>
      <c r="K153" s="284"/>
      <c r="L153" s="193"/>
      <c r="M153" s="180"/>
      <c r="N153" s="180"/>
      <c r="O153" s="180"/>
      <c r="P153" s="180"/>
      <c r="Q153" s="180"/>
      <c r="R153" s="180"/>
      <c r="S153" s="24"/>
      <c r="T153" s="182"/>
      <c r="U153" s="24"/>
      <c r="V153" s="32"/>
      <c r="W153" s="240"/>
      <c r="X153" s="64"/>
      <c r="Y153" s="75"/>
      <c r="Z153" s="64"/>
      <c r="AA153" s="64"/>
      <c r="AB153" s="25"/>
      <c r="AC153" s="23"/>
      <c r="AD153" s="23"/>
      <c r="AE153" s="23"/>
      <c r="AF153" s="335"/>
      <c r="AG153" s="336"/>
      <c r="AH153" s="334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</row>
    <row r="154" spans="1:346" s="26" customFormat="1" ht="12" hidden="1" customHeight="1" x14ac:dyDescent="0.25">
      <c r="A154" s="21"/>
      <c r="B154" s="21"/>
      <c r="C154" s="22"/>
      <c r="D154" s="353"/>
      <c r="E154" s="73"/>
      <c r="F154" s="7"/>
      <c r="G154" s="7"/>
      <c r="H154" s="7"/>
      <c r="I154" s="180"/>
      <c r="J154" s="180"/>
      <c r="K154" s="284"/>
      <c r="L154" s="193"/>
      <c r="M154" s="180"/>
      <c r="N154" s="180"/>
      <c r="O154" s="180"/>
      <c r="P154" s="180"/>
      <c r="Q154" s="180"/>
      <c r="R154" s="180"/>
      <c r="S154" s="24"/>
      <c r="T154" s="182"/>
      <c r="U154" s="24"/>
      <c r="V154" s="32"/>
      <c r="W154" s="240"/>
      <c r="X154" s="64"/>
      <c r="Y154" s="75"/>
      <c r="Z154" s="64"/>
      <c r="AA154" s="64"/>
      <c r="AB154" s="25"/>
      <c r="AC154" s="23"/>
      <c r="AD154" s="23"/>
      <c r="AE154" s="23"/>
      <c r="AF154" s="335"/>
      <c r="AG154" s="336"/>
      <c r="AH154" s="334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</row>
    <row r="155" spans="1:346" s="26" customFormat="1" ht="12" hidden="1" customHeight="1" x14ac:dyDescent="0.25">
      <c r="A155" s="21"/>
      <c r="B155" s="21"/>
      <c r="C155" s="22"/>
      <c r="D155" s="353"/>
      <c r="E155" s="73"/>
      <c r="F155" s="7"/>
      <c r="G155" s="7"/>
      <c r="H155" s="7"/>
      <c r="I155" s="180"/>
      <c r="J155" s="180"/>
      <c r="K155" s="284"/>
      <c r="L155" s="193"/>
      <c r="M155" s="180"/>
      <c r="N155" s="180"/>
      <c r="O155" s="180"/>
      <c r="P155" s="180"/>
      <c r="Q155" s="180"/>
      <c r="R155" s="180"/>
      <c r="S155" s="24"/>
      <c r="T155" s="182"/>
      <c r="U155" s="24"/>
      <c r="V155" s="32"/>
      <c r="W155" s="240"/>
      <c r="X155" s="64"/>
      <c r="Y155" s="75"/>
      <c r="Z155" s="64"/>
      <c r="AA155" s="64"/>
      <c r="AB155" s="25"/>
      <c r="AC155" s="23"/>
      <c r="AD155" s="23"/>
      <c r="AE155" s="23"/>
      <c r="AF155" s="335"/>
      <c r="AG155" s="336"/>
      <c r="AH155" s="334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</row>
    <row r="156" spans="1:346" s="26" customFormat="1" ht="12" hidden="1" customHeight="1" x14ac:dyDescent="0.25">
      <c r="A156" s="21"/>
      <c r="B156" s="21"/>
      <c r="C156" s="22"/>
      <c r="D156" s="353"/>
      <c r="E156" s="73"/>
      <c r="F156" s="7"/>
      <c r="G156" s="7"/>
      <c r="H156" s="7"/>
      <c r="I156" s="180"/>
      <c r="J156" s="180"/>
      <c r="K156" s="284"/>
      <c r="L156" s="193"/>
      <c r="M156" s="180"/>
      <c r="N156" s="180"/>
      <c r="O156" s="180"/>
      <c r="P156" s="180"/>
      <c r="Q156" s="180"/>
      <c r="R156" s="180"/>
      <c r="S156" s="24"/>
      <c r="T156" s="182"/>
      <c r="U156" s="24"/>
      <c r="V156" s="32"/>
      <c r="W156" s="240"/>
      <c r="X156" s="64"/>
      <c r="Y156" s="75"/>
      <c r="Z156" s="64"/>
      <c r="AA156" s="64"/>
      <c r="AB156" s="25"/>
      <c r="AC156" s="23"/>
      <c r="AD156" s="23"/>
      <c r="AE156" s="23"/>
      <c r="AF156" s="335"/>
      <c r="AG156" s="336"/>
      <c r="AH156" s="334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</row>
    <row r="157" spans="1:346" s="26" customFormat="1" ht="12" hidden="1" customHeight="1" x14ac:dyDescent="0.25">
      <c r="A157" s="21"/>
      <c r="B157" s="21"/>
      <c r="C157" s="22"/>
      <c r="D157" s="353"/>
      <c r="E157" s="73"/>
      <c r="F157" s="7"/>
      <c r="G157" s="7"/>
      <c r="H157" s="7"/>
      <c r="I157" s="180"/>
      <c r="J157" s="180"/>
      <c r="K157" s="284"/>
      <c r="L157" s="193"/>
      <c r="M157" s="180"/>
      <c r="N157" s="180"/>
      <c r="O157" s="180"/>
      <c r="P157" s="180"/>
      <c r="Q157" s="180"/>
      <c r="R157" s="180"/>
      <c r="S157" s="24"/>
      <c r="T157" s="182"/>
      <c r="U157" s="24"/>
      <c r="V157" s="32"/>
      <c r="W157" s="240"/>
      <c r="X157" s="64"/>
      <c r="Y157" s="75"/>
      <c r="Z157" s="64"/>
      <c r="AA157" s="64"/>
      <c r="AB157" s="25"/>
      <c r="AC157" s="23"/>
      <c r="AD157" s="23"/>
      <c r="AE157" s="23"/>
      <c r="AF157" s="335"/>
      <c r="AG157" s="336"/>
      <c r="AH157" s="334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</row>
    <row r="158" spans="1:346" s="26" customFormat="1" ht="12" hidden="1" customHeight="1" x14ac:dyDescent="0.25">
      <c r="A158" s="21"/>
      <c r="B158" s="21"/>
      <c r="C158" s="22"/>
      <c r="D158" s="353"/>
      <c r="E158" s="73"/>
      <c r="F158" s="7"/>
      <c r="G158" s="7"/>
      <c r="H158" s="7"/>
      <c r="I158" s="180"/>
      <c r="J158" s="180"/>
      <c r="K158" s="284"/>
      <c r="L158" s="193"/>
      <c r="M158" s="180"/>
      <c r="N158" s="180"/>
      <c r="O158" s="180"/>
      <c r="P158" s="180"/>
      <c r="Q158" s="180"/>
      <c r="R158" s="180"/>
      <c r="S158" s="24"/>
      <c r="T158" s="182"/>
      <c r="U158" s="24"/>
      <c r="V158" s="32"/>
      <c r="W158" s="240"/>
      <c r="X158" s="64"/>
      <c r="Y158" s="75"/>
      <c r="Z158" s="64"/>
      <c r="AA158" s="64"/>
      <c r="AB158" s="25"/>
      <c r="AC158" s="23"/>
      <c r="AD158" s="23"/>
      <c r="AE158" s="23"/>
      <c r="AF158" s="335"/>
      <c r="AG158" s="336"/>
      <c r="AH158" s="334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</row>
    <row r="159" spans="1:346" s="26" customFormat="1" ht="12" hidden="1" customHeight="1" x14ac:dyDescent="0.25">
      <c r="A159" s="21"/>
      <c r="B159" s="21"/>
      <c r="C159" s="22"/>
      <c r="D159" s="353"/>
      <c r="E159" s="73"/>
      <c r="F159" s="7"/>
      <c r="G159" s="7"/>
      <c r="H159" s="7"/>
      <c r="I159" s="180"/>
      <c r="J159" s="180"/>
      <c r="K159" s="284"/>
      <c r="L159" s="193"/>
      <c r="M159" s="180"/>
      <c r="N159" s="180"/>
      <c r="O159" s="180"/>
      <c r="P159" s="180"/>
      <c r="Q159" s="180"/>
      <c r="R159" s="180"/>
      <c r="S159" s="24"/>
      <c r="T159" s="182"/>
      <c r="U159" s="24"/>
      <c r="V159" s="32"/>
      <c r="W159" s="240"/>
      <c r="X159" s="64"/>
      <c r="Y159" s="75"/>
      <c r="Z159" s="64"/>
      <c r="AA159" s="64"/>
      <c r="AB159" s="25"/>
      <c r="AC159" s="23"/>
      <c r="AD159" s="23"/>
      <c r="AE159" s="23"/>
      <c r="AF159" s="335"/>
      <c r="AG159" s="336"/>
      <c r="AH159" s="334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</row>
    <row r="160" spans="1:346" s="26" customFormat="1" ht="12" hidden="1" customHeight="1" x14ac:dyDescent="0.25">
      <c r="A160" s="21"/>
      <c r="B160" s="21"/>
      <c r="C160" s="22"/>
      <c r="D160" s="353"/>
      <c r="E160" s="73"/>
      <c r="F160" s="7"/>
      <c r="G160" s="7"/>
      <c r="H160" s="7"/>
      <c r="I160" s="180"/>
      <c r="J160" s="180"/>
      <c r="K160" s="284"/>
      <c r="L160" s="193"/>
      <c r="M160" s="180"/>
      <c r="N160" s="180"/>
      <c r="O160" s="180"/>
      <c r="P160" s="180"/>
      <c r="Q160" s="180"/>
      <c r="R160" s="180"/>
      <c r="S160" s="24"/>
      <c r="T160" s="182"/>
      <c r="U160" s="24"/>
      <c r="V160" s="32"/>
      <c r="W160" s="240"/>
      <c r="X160" s="64"/>
      <c r="Y160" s="75"/>
      <c r="Z160" s="64"/>
      <c r="AA160" s="64"/>
      <c r="AB160" s="25"/>
      <c r="AC160" s="23"/>
      <c r="AD160" s="23"/>
      <c r="AE160" s="23"/>
      <c r="AF160" s="335"/>
      <c r="AG160" s="336"/>
      <c r="AH160" s="334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</row>
    <row r="161" spans="1:346" s="26" customFormat="1" ht="12" hidden="1" customHeight="1" x14ac:dyDescent="0.25">
      <c r="A161" s="21"/>
      <c r="B161" s="21"/>
      <c r="C161" s="22"/>
      <c r="D161" s="353"/>
      <c r="E161" s="73"/>
      <c r="F161" s="7"/>
      <c r="G161" s="7"/>
      <c r="H161" s="7"/>
      <c r="I161" s="180"/>
      <c r="J161" s="180"/>
      <c r="K161" s="284"/>
      <c r="L161" s="193"/>
      <c r="M161" s="180"/>
      <c r="N161" s="180"/>
      <c r="O161" s="180"/>
      <c r="P161" s="180"/>
      <c r="Q161" s="180"/>
      <c r="R161" s="180"/>
      <c r="S161" s="24"/>
      <c r="T161" s="182"/>
      <c r="U161" s="24"/>
      <c r="V161" s="32"/>
      <c r="W161" s="240"/>
      <c r="X161" s="64"/>
      <c r="Y161" s="75"/>
      <c r="Z161" s="64"/>
      <c r="AA161" s="64"/>
      <c r="AB161" s="25"/>
      <c r="AC161" s="23"/>
      <c r="AD161" s="23"/>
      <c r="AE161" s="23"/>
      <c r="AF161" s="335"/>
      <c r="AG161" s="336"/>
      <c r="AH161" s="334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</row>
    <row r="162" spans="1:346" s="26" customFormat="1" ht="12" hidden="1" customHeight="1" x14ac:dyDescent="0.25">
      <c r="A162" s="21"/>
      <c r="B162" s="21"/>
      <c r="C162" s="22"/>
      <c r="D162" s="353"/>
      <c r="E162" s="73"/>
      <c r="F162" s="7"/>
      <c r="G162" s="7"/>
      <c r="H162" s="7"/>
      <c r="I162" s="180"/>
      <c r="J162" s="180"/>
      <c r="K162" s="284"/>
      <c r="L162" s="193"/>
      <c r="M162" s="180"/>
      <c r="N162" s="180"/>
      <c r="O162" s="180"/>
      <c r="P162" s="180"/>
      <c r="Q162" s="180"/>
      <c r="R162" s="180"/>
      <c r="S162" s="24"/>
      <c r="T162" s="182"/>
      <c r="U162" s="24"/>
      <c r="V162" s="32"/>
      <c r="W162" s="240"/>
      <c r="X162" s="64"/>
      <c r="Y162" s="75"/>
      <c r="Z162" s="64"/>
      <c r="AA162" s="64"/>
      <c r="AB162" s="25"/>
      <c r="AC162" s="23"/>
      <c r="AD162" s="23"/>
      <c r="AE162" s="23"/>
      <c r="AF162" s="335"/>
      <c r="AG162" s="336"/>
      <c r="AH162" s="334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</row>
    <row r="163" spans="1:346" s="26" customFormat="1" ht="12" hidden="1" customHeight="1" x14ac:dyDescent="0.25">
      <c r="A163" s="21"/>
      <c r="B163" s="21"/>
      <c r="C163" s="22"/>
      <c r="D163" s="353"/>
      <c r="E163" s="73"/>
      <c r="F163" s="7"/>
      <c r="G163" s="7"/>
      <c r="H163" s="7"/>
      <c r="I163" s="180"/>
      <c r="J163" s="180"/>
      <c r="K163" s="284"/>
      <c r="L163" s="193"/>
      <c r="M163" s="180"/>
      <c r="N163" s="180"/>
      <c r="O163" s="180"/>
      <c r="P163" s="180"/>
      <c r="Q163" s="180"/>
      <c r="R163" s="180"/>
      <c r="S163" s="24"/>
      <c r="T163" s="182"/>
      <c r="U163" s="24"/>
      <c r="V163" s="32"/>
      <c r="W163" s="240"/>
      <c r="X163" s="64"/>
      <c r="Y163" s="75"/>
      <c r="Z163" s="64"/>
      <c r="AA163" s="64"/>
      <c r="AB163" s="25"/>
      <c r="AC163" s="23"/>
      <c r="AD163" s="23"/>
      <c r="AE163" s="23"/>
      <c r="AF163" s="335"/>
      <c r="AG163" s="336"/>
      <c r="AH163" s="334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</row>
    <row r="164" spans="1:346" s="26" customFormat="1" ht="12" hidden="1" customHeight="1" x14ac:dyDescent="0.25">
      <c r="A164" s="21"/>
      <c r="B164" s="21"/>
      <c r="C164" s="22"/>
      <c r="D164" s="353"/>
      <c r="E164" s="73"/>
      <c r="F164" s="7"/>
      <c r="G164" s="7"/>
      <c r="H164" s="7"/>
      <c r="I164" s="180"/>
      <c r="J164" s="180"/>
      <c r="K164" s="284"/>
      <c r="L164" s="193"/>
      <c r="M164" s="180"/>
      <c r="N164" s="180"/>
      <c r="O164" s="180"/>
      <c r="P164" s="180"/>
      <c r="Q164" s="180"/>
      <c r="R164" s="180"/>
      <c r="S164" s="24"/>
      <c r="T164" s="182"/>
      <c r="U164" s="24"/>
      <c r="V164" s="32"/>
      <c r="W164" s="240"/>
      <c r="X164" s="64"/>
      <c r="Y164" s="75"/>
      <c r="Z164" s="64"/>
      <c r="AA164" s="64"/>
      <c r="AB164" s="25"/>
      <c r="AC164" s="23"/>
      <c r="AD164" s="23"/>
      <c r="AE164" s="23"/>
      <c r="AF164" s="335"/>
      <c r="AG164" s="336"/>
      <c r="AH164" s="334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</row>
    <row r="165" spans="1:346" s="26" customFormat="1" ht="12" hidden="1" customHeight="1" x14ac:dyDescent="0.25">
      <c r="A165" s="21"/>
      <c r="B165" s="21"/>
      <c r="C165" s="22"/>
      <c r="D165" s="353"/>
      <c r="E165" s="73"/>
      <c r="F165" s="7"/>
      <c r="G165" s="7"/>
      <c r="H165" s="7"/>
      <c r="I165" s="180"/>
      <c r="J165" s="180"/>
      <c r="K165" s="284"/>
      <c r="L165" s="193"/>
      <c r="M165" s="180"/>
      <c r="N165" s="180"/>
      <c r="O165" s="180"/>
      <c r="P165" s="180"/>
      <c r="Q165" s="180"/>
      <c r="R165" s="180"/>
      <c r="S165" s="24"/>
      <c r="T165" s="182"/>
      <c r="U165" s="24"/>
      <c r="V165" s="32"/>
      <c r="W165" s="240"/>
      <c r="X165" s="64"/>
      <c r="Y165" s="75"/>
      <c r="Z165" s="64"/>
      <c r="AA165" s="64"/>
      <c r="AB165" s="25"/>
      <c r="AC165" s="23"/>
      <c r="AD165" s="23"/>
      <c r="AE165" s="23"/>
      <c r="AF165" s="335"/>
      <c r="AG165" s="336"/>
      <c r="AH165" s="334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</row>
    <row r="166" spans="1:346" s="26" customFormat="1" ht="12" hidden="1" customHeight="1" x14ac:dyDescent="0.25">
      <c r="A166" s="21"/>
      <c r="B166" s="21"/>
      <c r="C166" s="22"/>
      <c r="D166" s="353"/>
      <c r="E166" s="73"/>
      <c r="F166" s="7"/>
      <c r="G166" s="7"/>
      <c r="H166" s="7"/>
      <c r="I166" s="180"/>
      <c r="J166" s="180"/>
      <c r="K166" s="284"/>
      <c r="L166" s="193"/>
      <c r="M166" s="180"/>
      <c r="N166" s="180"/>
      <c r="O166" s="180"/>
      <c r="P166" s="180"/>
      <c r="Q166" s="180"/>
      <c r="R166" s="180"/>
      <c r="S166" s="24"/>
      <c r="T166" s="182"/>
      <c r="U166" s="24"/>
      <c r="V166" s="32"/>
      <c r="W166" s="240"/>
      <c r="X166" s="64"/>
      <c r="Y166" s="75"/>
      <c r="Z166" s="64"/>
      <c r="AA166" s="64"/>
      <c r="AB166" s="25"/>
      <c r="AC166" s="23"/>
      <c r="AD166" s="23"/>
      <c r="AE166" s="23"/>
      <c r="AF166" s="335"/>
      <c r="AG166" s="336"/>
      <c r="AH166" s="334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</row>
    <row r="167" spans="1:346" s="26" customFormat="1" ht="12" hidden="1" customHeight="1" x14ac:dyDescent="0.25">
      <c r="A167" s="21"/>
      <c r="B167" s="21"/>
      <c r="C167" s="22"/>
      <c r="D167" s="353"/>
      <c r="E167" s="73"/>
      <c r="F167" s="7"/>
      <c r="G167" s="7"/>
      <c r="H167" s="7"/>
      <c r="I167" s="180"/>
      <c r="J167" s="180"/>
      <c r="K167" s="284"/>
      <c r="L167" s="193"/>
      <c r="M167" s="180"/>
      <c r="N167" s="180"/>
      <c r="O167" s="180"/>
      <c r="P167" s="180"/>
      <c r="Q167" s="180"/>
      <c r="R167" s="180"/>
      <c r="S167" s="24"/>
      <c r="T167" s="182"/>
      <c r="U167" s="24"/>
      <c r="V167" s="32"/>
      <c r="W167" s="240"/>
      <c r="X167" s="64"/>
      <c r="Y167" s="75"/>
      <c r="Z167" s="64"/>
      <c r="AA167" s="64"/>
      <c r="AB167" s="25"/>
      <c r="AC167" s="23"/>
      <c r="AD167" s="23"/>
      <c r="AE167" s="23"/>
      <c r="AF167" s="335"/>
      <c r="AG167" s="336"/>
      <c r="AH167" s="334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</row>
    <row r="168" spans="1:346" s="26" customFormat="1" ht="12" hidden="1" customHeight="1" x14ac:dyDescent="0.25">
      <c r="A168" s="21"/>
      <c r="B168" s="21"/>
      <c r="C168" s="22"/>
      <c r="D168" s="353"/>
      <c r="E168" s="73"/>
      <c r="F168" s="7"/>
      <c r="G168" s="7"/>
      <c r="H168" s="7"/>
      <c r="I168" s="180"/>
      <c r="J168" s="180"/>
      <c r="K168" s="284"/>
      <c r="L168" s="193"/>
      <c r="M168" s="180"/>
      <c r="N168" s="180"/>
      <c r="O168" s="180"/>
      <c r="P168" s="180"/>
      <c r="Q168" s="180"/>
      <c r="R168" s="180"/>
      <c r="S168" s="24"/>
      <c r="T168" s="182"/>
      <c r="U168" s="24"/>
      <c r="V168" s="32"/>
      <c r="W168" s="240"/>
      <c r="X168" s="64"/>
      <c r="Y168" s="75"/>
      <c r="Z168" s="64"/>
      <c r="AA168" s="64"/>
      <c r="AB168" s="25"/>
      <c r="AC168" s="23"/>
      <c r="AD168" s="23"/>
      <c r="AE168" s="23"/>
      <c r="AF168" s="335"/>
      <c r="AG168" s="336"/>
      <c r="AH168" s="334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</row>
    <row r="169" spans="1:346" s="26" customFormat="1" ht="12" hidden="1" customHeight="1" x14ac:dyDescent="0.25">
      <c r="A169" s="21"/>
      <c r="B169" s="21"/>
      <c r="C169" s="22"/>
      <c r="D169" s="353"/>
      <c r="E169" s="73"/>
      <c r="F169" s="7"/>
      <c r="G169" s="7"/>
      <c r="H169" s="7"/>
      <c r="I169" s="180"/>
      <c r="J169" s="180"/>
      <c r="K169" s="284"/>
      <c r="L169" s="193"/>
      <c r="M169" s="180"/>
      <c r="N169" s="180"/>
      <c r="O169" s="180"/>
      <c r="P169" s="180"/>
      <c r="Q169" s="180"/>
      <c r="R169" s="180"/>
      <c r="S169" s="24"/>
      <c r="T169" s="182"/>
      <c r="U169" s="24"/>
      <c r="V169" s="32"/>
      <c r="W169" s="240"/>
      <c r="X169" s="64"/>
      <c r="Y169" s="75"/>
      <c r="Z169" s="64"/>
      <c r="AA169" s="64"/>
      <c r="AB169" s="25"/>
      <c r="AC169" s="23"/>
      <c r="AD169" s="23"/>
      <c r="AE169" s="23"/>
      <c r="AF169" s="335"/>
      <c r="AG169" s="336"/>
      <c r="AH169" s="334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</row>
    <row r="170" spans="1:346" s="26" customFormat="1" ht="12" hidden="1" customHeight="1" x14ac:dyDescent="0.25">
      <c r="A170" s="21"/>
      <c r="B170" s="21"/>
      <c r="C170" s="22"/>
      <c r="D170" s="353"/>
      <c r="E170" s="73"/>
      <c r="F170" s="7"/>
      <c r="G170" s="7"/>
      <c r="H170" s="7"/>
      <c r="I170" s="180"/>
      <c r="J170" s="180"/>
      <c r="K170" s="284"/>
      <c r="L170" s="193"/>
      <c r="M170" s="180"/>
      <c r="N170" s="180"/>
      <c r="O170" s="180"/>
      <c r="P170" s="180"/>
      <c r="Q170" s="180"/>
      <c r="R170" s="180"/>
      <c r="S170" s="24"/>
      <c r="T170" s="182"/>
      <c r="U170" s="24"/>
      <c r="V170" s="32"/>
      <c r="W170" s="240"/>
      <c r="X170" s="64"/>
      <c r="Y170" s="75"/>
      <c r="Z170" s="64"/>
      <c r="AA170" s="64"/>
      <c r="AB170" s="25"/>
      <c r="AC170" s="23"/>
      <c r="AD170" s="23"/>
      <c r="AE170" s="23"/>
      <c r="AF170" s="335"/>
      <c r="AG170" s="336"/>
      <c r="AH170" s="334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</row>
    <row r="171" spans="1:346" s="26" customFormat="1" ht="12" hidden="1" customHeight="1" x14ac:dyDescent="0.25">
      <c r="A171" s="21"/>
      <c r="B171" s="21"/>
      <c r="C171" s="22"/>
      <c r="D171" s="353"/>
      <c r="E171" s="73"/>
      <c r="F171" s="7"/>
      <c r="G171" s="7"/>
      <c r="H171" s="7"/>
      <c r="I171" s="180"/>
      <c r="J171" s="180"/>
      <c r="K171" s="284"/>
      <c r="L171" s="193"/>
      <c r="M171" s="180"/>
      <c r="N171" s="180"/>
      <c r="O171" s="180"/>
      <c r="P171" s="180"/>
      <c r="Q171" s="180"/>
      <c r="R171" s="180"/>
      <c r="S171" s="24"/>
      <c r="T171" s="182"/>
      <c r="U171" s="24"/>
      <c r="V171" s="32"/>
      <c r="W171" s="240"/>
      <c r="X171" s="64"/>
      <c r="Y171" s="75"/>
      <c r="Z171" s="64"/>
      <c r="AA171" s="64"/>
      <c r="AB171" s="25"/>
      <c r="AC171" s="23"/>
      <c r="AD171" s="23"/>
      <c r="AE171" s="23"/>
      <c r="AF171" s="335"/>
      <c r="AG171" s="336"/>
      <c r="AH171" s="334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</row>
    <row r="172" spans="1:346" s="26" customFormat="1" ht="12" hidden="1" customHeight="1" x14ac:dyDescent="0.25">
      <c r="A172" s="21"/>
      <c r="B172" s="21"/>
      <c r="C172" s="22"/>
      <c r="D172" s="353"/>
      <c r="E172" s="73"/>
      <c r="F172" s="7"/>
      <c r="G172" s="7"/>
      <c r="H172" s="7"/>
      <c r="I172" s="180"/>
      <c r="J172" s="180"/>
      <c r="K172" s="284"/>
      <c r="L172" s="193"/>
      <c r="M172" s="180"/>
      <c r="N172" s="180"/>
      <c r="O172" s="180"/>
      <c r="P172" s="180"/>
      <c r="Q172" s="180"/>
      <c r="R172" s="180"/>
      <c r="S172" s="24"/>
      <c r="T172" s="182"/>
      <c r="U172" s="24"/>
      <c r="V172" s="32"/>
      <c r="W172" s="240"/>
      <c r="X172" s="64"/>
      <c r="Y172" s="75"/>
      <c r="Z172" s="64"/>
      <c r="AA172" s="64"/>
      <c r="AB172" s="25"/>
      <c r="AC172" s="23"/>
      <c r="AD172" s="23"/>
      <c r="AE172" s="23"/>
      <c r="AF172" s="335"/>
      <c r="AG172" s="336"/>
      <c r="AH172" s="334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</row>
    <row r="173" spans="1:346" s="26" customFormat="1" ht="12" hidden="1" customHeight="1" x14ac:dyDescent="0.25">
      <c r="A173" s="21"/>
      <c r="B173" s="21"/>
      <c r="C173" s="22"/>
      <c r="D173" s="353"/>
      <c r="E173" s="73"/>
      <c r="F173" s="7"/>
      <c r="G173" s="7"/>
      <c r="H173" s="7"/>
      <c r="I173" s="180"/>
      <c r="J173" s="180"/>
      <c r="K173" s="284"/>
      <c r="L173" s="193"/>
      <c r="M173" s="180"/>
      <c r="N173" s="180"/>
      <c r="O173" s="180"/>
      <c r="P173" s="180"/>
      <c r="Q173" s="180"/>
      <c r="R173" s="180"/>
      <c r="S173" s="24"/>
      <c r="T173" s="182"/>
      <c r="U173" s="24"/>
      <c r="V173" s="32"/>
      <c r="W173" s="240"/>
      <c r="X173" s="64"/>
      <c r="Y173" s="75"/>
      <c r="Z173" s="64"/>
      <c r="AA173" s="64"/>
      <c r="AB173" s="25"/>
      <c r="AC173" s="23"/>
      <c r="AD173" s="23"/>
      <c r="AE173" s="23"/>
      <c r="AF173" s="335"/>
      <c r="AG173" s="336"/>
      <c r="AH173" s="334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</row>
    <row r="174" spans="1:346" s="26" customFormat="1" ht="12" hidden="1" customHeight="1" x14ac:dyDescent="0.25">
      <c r="A174" s="21"/>
      <c r="B174" s="21"/>
      <c r="C174" s="22"/>
      <c r="D174" s="353"/>
      <c r="E174" s="73"/>
      <c r="F174" s="7"/>
      <c r="G174" s="7"/>
      <c r="H174" s="7"/>
      <c r="I174" s="180"/>
      <c r="J174" s="180"/>
      <c r="K174" s="284"/>
      <c r="L174" s="193"/>
      <c r="M174" s="180"/>
      <c r="N174" s="180"/>
      <c r="O174" s="180"/>
      <c r="P174" s="180"/>
      <c r="Q174" s="180"/>
      <c r="R174" s="180"/>
      <c r="S174" s="24"/>
      <c r="T174" s="182"/>
      <c r="U174" s="24"/>
      <c r="V174" s="32"/>
      <c r="W174" s="240"/>
      <c r="X174" s="64"/>
      <c r="Y174" s="75"/>
      <c r="Z174" s="64"/>
      <c r="AA174" s="64"/>
      <c r="AB174" s="25"/>
      <c r="AC174" s="23"/>
      <c r="AD174" s="23"/>
      <c r="AE174" s="23"/>
      <c r="AF174" s="335"/>
      <c r="AG174" s="336"/>
      <c r="AH174" s="334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</row>
    <row r="175" spans="1:346" s="26" customFormat="1" ht="12" hidden="1" customHeight="1" x14ac:dyDescent="0.25">
      <c r="A175" s="21"/>
      <c r="B175" s="21"/>
      <c r="C175" s="22"/>
      <c r="D175" s="353"/>
      <c r="E175" s="73"/>
      <c r="F175" s="7"/>
      <c r="G175" s="7"/>
      <c r="H175" s="7"/>
      <c r="I175" s="180"/>
      <c r="J175" s="180"/>
      <c r="K175" s="284"/>
      <c r="L175" s="193"/>
      <c r="M175" s="180"/>
      <c r="N175" s="180"/>
      <c r="O175" s="180"/>
      <c r="P175" s="180"/>
      <c r="Q175" s="180"/>
      <c r="R175" s="180"/>
      <c r="S175" s="24"/>
      <c r="T175" s="182"/>
      <c r="U175" s="24"/>
      <c r="V175" s="32"/>
      <c r="W175" s="240"/>
      <c r="X175" s="64"/>
      <c r="Y175" s="75"/>
      <c r="Z175" s="64"/>
      <c r="AA175" s="64"/>
      <c r="AB175" s="25"/>
      <c r="AC175" s="23"/>
      <c r="AD175" s="23"/>
      <c r="AE175" s="23"/>
      <c r="AF175" s="335"/>
      <c r="AG175" s="336"/>
      <c r="AH175" s="334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</row>
    <row r="176" spans="1:346" s="26" customFormat="1" ht="12" hidden="1" customHeight="1" x14ac:dyDescent="0.25">
      <c r="A176" s="21"/>
      <c r="B176" s="21"/>
      <c r="C176" s="22"/>
      <c r="D176" s="353"/>
      <c r="E176" s="73"/>
      <c r="F176" s="7"/>
      <c r="G176" s="7"/>
      <c r="H176" s="7"/>
      <c r="I176" s="180"/>
      <c r="J176" s="180"/>
      <c r="K176" s="284"/>
      <c r="L176" s="193"/>
      <c r="M176" s="180"/>
      <c r="N176" s="180"/>
      <c r="O176" s="180"/>
      <c r="P176" s="180"/>
      <c r="Q176" s="180"/>
      <c r="R176" s="180"/>
      <c r="S176" s="24"/>
      <c r="T176" s="182"/>
      <c r="U176" s="24"/>
      <c r="V176" s="32"/>
      <c r="W176" s="240"/>
      <c r="X176" s="64"/>
      <c r="Y176" s="75"/>
      <c r="Z176" s="64"/>
      <c r="AA176" s="64"/>
      <c r="AB176" s="25"/>
      <c r="AC176" s="23"/>
      <c r="AD176" s="23"/>
      <c r="AE176" s="23"/>
      <c r="AF176" s="335"/>
      <c r="AG176" s="336"/>
      <c r="AH176" s="334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</row>
    <row r="177" spans="1:346" s="26" customFormat="1" ht="12" hidden="1" customHeight="1" x14ac:dyDescent="0.25">
      <c r="A177" s="21"/>
      <c r="B177" s="21"/>
      <c r="C177" s="22"/>
      <c r="D177" s="353"/>
      <c r="E177" s="73"/>
      <c r="F177" s="7"/>
      <c r="G177" s="7"/>
      <c r="H177" s="7"/>
      <c r="I177" s="180"/>
      <c r="J177" s="180"/>
      <c r="K177" s="284"/>
      <c r="L177" s="193"/>
      <c r="M177" s="180"/>
      <c r="N177" s="180"/>
      <c r="O177" s="180"/>
      <c r="P177" s="180"/>
      <c r="Q177" s="180"/>
      <c r="R177" s="180"/>
      <c r="S177" s="24"/>
      <c r="T177" s="182"/>
      <c r="U177" s="24"/>
      <c r="V177" s="32"/>
      <c r="W177" s="240"/>
      <c r="X177" s="64"/>
      <c r="Y177" s="75"/>
      <c r="Z177" s="64"/>
      <c r="AA177" s="64"/>
      <c r="AB177" s="25"/>
      <c r="AC177" s="23"/>
      <c r="AD177" s="23"/>
      <c r="AE177" s="23"/>
      <c r="AF177" s="335"/>
      <c r="AG177" s="336"/>
      <c r="AH177" s="334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</row>
    <row r="178" spans="1:346" s="26" customFormat="1" ht="12" hidden="1" customHeight="1" x14ac:dyDescent="0.25">
      <c r="A178" s="21"/>
      <c r="B178" s="21"/>
      <c r="C178" s="22"/>
      <c r="D178" s="353"/>
      <c r="E178" s="73"/>
      <c r="F178" s="7"/>
      <c r="G178" s="7"/>
      <c r="H178" s="7"/>
      <c r="I178" s="180"/>
      <c r="J178" s="180"/>
      <c r="K178" s="284"/>
      <c r="L178" s="193"/>
      <c r="M178" s="180"/>
      <c r="N178" s="180"/>
      <c r="O178" s="180"/>
      <c r="P178" s="180"/>
      <c r="Q178" s="180"/>
      <c r="R178" s="180"/>
      <c r="S178" s="24"/>
      <c r="T178" s="182"/>
      <c r="U178" s="24"/>
      <c r="V178" s="32"/>
      <c r="W178" s="240"/>
      <c r="X178" s="64"/>
      <c r="Y178" s="75"/>
      <c r="Z178" s="64"/>
      <c r="AA178" s="64"/>
      <c r="AB178" s="25"/>
      <c r="AC178" s="23"/>
      <c r="AD178" s="23"/>
      <c r="AE178" s="23"/>
      <c r="AF178" s="335"/>
      <c r="AG178" s="336"/>
      <c r="AH178" s="334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</row>
    <row r="179" spans="1:346" s="26" customFormat="1" ht="12" hidden="1" customHeight="1" x14ac:dyDescent="0.25">
      <c r="A179" s="21"/>
      <c r="B179" s="21"/>
      <c r="C179" s="22"/>
      <c r="D179" s="353"/>
      <c r="E179" s="73"/>
      <c r="F179" s="7"/>
      <c r="G179" s="7"/>
      <c r="H179" s="7"/>
      <c r="I179" s="180"/>
      <c r="J179" s="180"/>
      <c r="K179" s="284"/>
      <c r="L179" s="193"/>
      <c r="M179" s="180"/>
      <c r="N179" s="180"/>
      <c r="O179" s="180"/>
      <c r="P179" s="180"/>
      <c r="Q179" s="180"/>
      <c r="R179" s="180"/>
      <c r="S179" s="24"/>
      <c r="T179" s="182"/>
      <c r="U179" s="24"/>
      <c r="V179" s="32"/>
      <c r="W179" s="240"/>
      <c r="X179" s="64"/>
      <c r="Y179" s="75"/>
      <c r="Z179" s="64"/>
      <c r="AA179" s="64"/>
      <c r="AB179" s="25"/>
      <c r="AC179" s="23"/>
      <c r="AD179" s="23"/>
      <c r="AE179" s="23"/>
      <c r="AF179" s="335"/>
      <c r="AG179" s="336"/>
      <c r="AH179" s="334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</row>
    <row r="180" spans="1:346" s="26" customFormat="1" ht="12" hidden="1" customHeight="1" x14ac:dyDescent="0.25">
      <c r="A180" s="21"/>
      <c r="B180" s="21"/>
      <c r="C180" s="22"/>
      <c r="D180" s="353"/>
      <c r="E180" s="73"/>
      <c r="F180" s="7"/>
      <c r="G180" s="7"/>
      <c r="H180" s="7"/>
      <c r="I180" s="180"/>
      <c r="J180" s="180"/>
      <c r="K180" s="284"/>
      <c r="L180" s="193"/>
      <c r="M180" s="180"/>
      <c r="N180" s="180"/>
      <c r="O180" s="180"/>
      <c r="P180" s="180"/>
      <c r="Q180" s="180"/>
      <c r="R180" s="180"/>
      <c r="S180" s="24"/>
      <c r="T180" s="182"/>
      <c r="U180" s="24"/>
      <c r="V180" s="32"/>
      <c r="W180" s="240"/>
      <c r="X180" s="64"/>
      <c r="Y180" s="75"/>
      <c r="Z180" s="64"/>
      <c r="AA180" s="64"/>
      <c r="AB180" s="25"/>
      <c r="AC180" s="23"/>
      <c r="AD180" s="23"/>
      <c r="AE180" s="23"/>
      <c r="AF180" s="335"/>
      <c r="AG180" s="336"/>
      <c r="AH180" s="334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</row>
    <row r="181" spans="1:346" s="26" customFormat="1" ht="12" hidden="1" customHeight="1" x14ac:dyDescent="0.25">
      <c r="A181" s="21"/>
      <c r="B181" s="21"/>
      <c r="C181" s="22"/>
      <c r="D181" s="353"/>
      <c r="E181" s="73"/>
      <c r="F181" s="7"/>
      <c r="G181" s="7"/>
      <c r="H181" s="7"/>
      <c r="I181" s="180"/>
      <c r="J181" s="180"/>
      <c r="K181" s="284"/>
      <c r="L181" s="193"/>
      <c r="M181" s="180"/>
      <c r="N181" s="180"/>
      <c r="O181" s="180"/>
      <c r="P181" s="180"/>
      <c r="Q181" s="180"/>
      <c r="R181" s="180"/>
      <c r="S181" s="24"/>
      <c r="T181" s="182"/>
      <c r="U181" s="24"/>
      <c r="V181" s="32"/>
      <c r="W181" s="240"/>
      <c r="X181" s="64"/>
      <c r="Y181" s="75"/>
      <c r="Z181" s="64"/>
      <c r="AA181" s="64"/>
      <c r="AB181" s="25"/>
      <c r="AC181" s="23"/>
      <c r="AD181" s="23"/>
      <c r="AE181" s="23"/>
      <c r="AF181" s="335"/>
      <c r="AG181" s="336"/>
      <c r="AH181" s="334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</row>
    <row r="182" spans="1:346" s="26" customFormat="1" ht="12" hidden="1" customHeight="1" x14ac:dyDescent="0.25">
      <c r="A182" s="21"/>
      <c r="B182" s="21"/>
      <c r="C182" s="22"/>
      <c r="D182" s="353"/>
      <c r="E182" s="73"/>
      <c r="F182" s="7"/>
      <c r="G182" s="7"/>
      <c r="H182" s="7"/>
      <c r="I182" s="180"/>
      <c r="J182" s="180"/>
      <c r="K182" s="284"/>
      <c r="L182" s="193"/>
      <c r="M182" s="180"/>
      <c r="N182" s="180"/>
      <c r="O182" s="180"/>
      <c r="P182" s="180"/>
      <c r="Q182" s="180"/>
      <c r="R182" s="180"/>
      <c r="S182" s="24"/>
      <c r="T182" s="182"/>
      <c r="U182" s="24"/>
      <c r="V182" s="32"/>
      <c r="W182" s="240"/>
      <c r="X182" s="64"/>
      <c r="Y182" s="75"/>
      <c r="Z182" s="64"/>
      <c r="AA182" s="64"/>
      <c r="AB182" s="25"/>
      <c r="AC182" s="23"/>
      <c r="AD182" s="23"/>
      <c r="AE182" s="23"/>
      <c r="AF182" s="335"/>
      <c r="AG182" s="336"/>
      <c r="AH182" s="334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</row>
    <row r="183" spans="1:346" s="26" customFormat="1" ht="12" hidden="1" customHeight="1" x14ac:dyDescent="0.25">
      <c r="A183" s="21"/>
      <c r="B183" s="21"/>
      <c r="C183" s="22"/>
      <c r="D183" s="353"/>
      <c r="E183" s="73"/>
      <c r="F183" s="7"/>
      <c r="G183" s="7"/>
      <c r="H183" s="7"/>
      <c r="I183" s="180"/>
      <c r="J183" s="180"/>
      <c r="K183" s="284"/>
      <c r="L183" s="193"/>
      <c r="M183" s="180"/>
      <c r="N183" s="180"/>
      <c r="O183" s="180"/>
      <c r="P183" s="180"/>
      <c r="Q183" s="180"/>
      <c r="R183" s="180"/>
      <c r="S183" s="24"/>
      <c r="T183" s="182"/>
      <c r="U183" s="24"/>
      <c r="V183" s="32"/>
      <c r="W183" s="240"/>
      <c r="X183" s="64"/>
      <c r="Y183" s="75"/>
      <c r="Z183" s="64"/>
      <c r="AA183" s="64"/>
      <c r="AB183" s="25"/>
      <c r="AC183" s="23"/>
      <c r="AD183" s="23"/>
      <c r="AE183" s="23"/>
      <c r="AF183" s="335"/>
      <c r="AG183" s="336"/>
      <c r="AH183" s="334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</row>
    <row r="184" spans="1:346" s="26" customFormat="1" ht="12" hidden="1" customHeight="1" x14ac:dyDescent="0.25">
      <c r="A184" s="21"/>
      <c r="B184" s="21"/>
      <c r="C184" s="22"/>
      <c r="D184" s="353"/>
      <c r="E184" s="73"/>
      <c r="F184" s="7"/>
      <c r="G184" s="7"/>
      <c r="H184" s="7"/>
      <c r="I184" s="180"/>
      <c r="J184" s="180"/>
      <c r="K184" s="284"/>
      <c r="L184" s="193"/>
      <c r="M184" s="180"/>
      <c r="N184" s="180"/>
      <c r="O184" s="180"/>
      <c r="P184" s="180"/>
      <c r="Q184" s="180"/>
      <c r="R184" s="180"/>
      <c r="S184" s="24"/>
      <c r="T184" s="182"/>
      <c r="U184" s="24"/>
      <c r="V184" s="32"/>
      <c r="W184" s="240"/>
      <c r="X184" s="64"/>
      <c r="Y184" s="75"/>
      <c r="Z184" s="64"/>
      <c r="AA184" s="64"/>
      <c r="AB184" s="25"/>
      <c r="AC184" s="23"/>
      <c r="AD184" s="23"/>
      <c r="AE184" s="23"/>
      <c r="AF184" s="335"/>
      <c r="AG184" s="336"/>
      <c r="AH184" s="334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</row>
    <row r="185" spans="1:346" s="26" customFormat="1" ht="12" hidden="1" customHeight="1" x14ac:dyDescent="0.25">
      <c r="A185" s="21"/>
      <c r="B185" s="21"/>
      <c r="C185" s="22"/>
      <c r="D185" s="353"/>
      <c r="E185" s="73"/>
      <c r="F185" s="7"/>
      <c r="G185" s="7"/>
      <c r="H185" s="7"/>
      <c r="I185" s="180"/>
      <c r="J185" s="180"/>
      <c r="K185" s="284"/>
      <c r="L185" s="193"/>
      <c r="M185" s="180"/>
      <c r="N185" s="180"/>
      <c r="O185" s="180"/>
      <c r="P185" s="180"/>
      <c r="Q185" s="180"/>
      <c r="R185" s="180"/>
      <c r="S185" s="24"/>
      <c r="T185" s="182"/>
      <c r="U185" s="24"/>
      <c r="V185" s="32"/>
      <c r="W185" s="240"/>
      <c r="X185" s="64"/>
      <c r="Y185" s="75"/>
      <c r="Z185" s="64"/>
      <c r="AA185" s="64"/>
      <c r="AB185" s="25"/>
      <c r="AC185" s="23"/>
      <c r="AD185" s="23"/>
      <c r="AE185" s="23"/>
      <c r="AF185" s="335"/>
      <c r="AG185" s="336"/>
      <c r="AH185" s="334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</row>
    <row r="186" spans="1:346" s="26" customFormat="1" ht="12" hidden="1" customHeight="1" x14ac:dyDescent="0.25">
      <c r="A186" s="21"/>
      <c r="B186" s="21"/>
      <c r="C186" s="22"/>
      <c r="D186" s="353"/>
      <c r="E186" s="73"/>
      <c r="F186" s="7"/>
      <c r="G186" s="7"/>
      <c r="H186" s="7"/>
      <c r="I186" s="180"/>
      <c r="J186" s="180"/>
      <c r="K186" s="284"/>
      <c r="L186" s="193"/>
      <c r="M186" s="180"/>
      <c r="N186" s="180"/>
      <c r="O186" s="180"/>
      <c r="P186" s="180"/>
      <c r="Q186" s="180"/>
      <c r="R186" s="180"/>
      <c r="S186" s="24"/>
      <c r="T186" s="182"/>
      <c r="U186" s="24"/>
      <c r="V186" s="32"/>
      <c r="W186" s="240"/>
      <c r="X186" s="64"/>
      <c r="Y186" s="75"/>
      <c r="Z186" s="64"/>
      <c r="AA186" s="64"/>
      <c r="AB186" s="25"/>
      <c r="AC186" s="23"/>
      <c r="AD186" s="23"/>
      <c r="AE186" s="23"/>
      <c r="AF186" s="335"/>
      <c r="AG186" s="336"/>
      <c r="AH186" s="334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</row>
    <row r="187" spans="1:346" s="26" customFormat="1" ht="12" hidden="1" customHeight="1" x14ac:dyDescent="0.25">
      <c r="A187" s="21"/>
      <c r="B187" s="21"/>
      <c r="C187" s="22"/>
      <c r="D187" s="353"/>
      <c r="E187" s="73"/>
      <c r="F187" s="7"/>
      <c r="G187" s="7"/>
      <c r="H187" s="7"/>
      <c r="I187" s="180"/>
      <c r="J187" s="180"/>
      <c r="K187" s="284"/>
      <c r="L187" s="193"/>
      <c r="M187" s="180"/>
      <c r="N187" s="180"/>
      <c r="O187" s="180"/>
      <c r="P187" s="180"/>
      <c r="Q187" s="180"/>
      <c r="R187" s="180"/>
      <c r="S187" s="24"/>
      <c r="T187" s="182"/>
      <c r="U187" s="24"/>
      <c r="V187" s="32"/>
      <c r="W187" s="240"/>
      <c r="X187" s="64"/>
      <c r="Y187" s="75"/>
      <c r="Z187" s="64"/>
      <c r="AA187" s="64"/>
      <c r="AB187" s="25"/>
      <c r="AC187" s="23"/>
      <c r="AD187" s="23"/>
      <c r="AE187" s="23"/>
      <c r="AF187" s="335"/>
      <c r="AG187" s="336"/>
      <c r="AH187" s="334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</row>
    <row r="188" spans="1:346" s="26" customFormat="1" ht="12" hidden="1" customHeight="1" x14ac:dyDescent="0.25">
      <c r="A188" s="21"/>
      <c r="B188" s="21"/>
      <c r="C188" s="22"/>
      <c r="D188" s="353"/>
      <c r="E188" s="73"/>
      <c r="F188" s="7"/>
      <c r="G188" s="7"/>
      <c r="H188" s="7"/>
      <c r="I188" s="180"/>
      <c r="J188" s="180"/>
      <c r="K188" s="284"/>
      <c r="L188" s="193"/>
      <c r="M188" s="180"/>
      <c r="N188" s="180"/>
      <c r="O188" s="180"/>
      <c r="P188" s="180"/>
      <c r="Q188" s="180"/>
      <c r="R188" s="180"/>
      <c r="S188" s="24"/>
      <c r="T188" s="182"/>
      <c r="U188" s="24"/>
      <c r="V188" s="32"/>
      <c r="W188" s="240"/>
      <c r="X188" s="64"/>
      <c r="Y188" s="75"/>
      <c r="Z188" s="64"/>
      <c r="AA188" s="64"/>
      <c r="AB188" s="25"/>
      <c r="AC188" s="23"/>
      <c r="AD188" s="23"/>
      <c r="AE188" s="23"/>
      <c r="AF188" s="335"/>
      <c r="AG188" s="336"/>
      <c r="AH188" s="334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</row>
    <row r="189" spans="1:346" s="26" customFormat="1" ht="12" hidden="1" customHeight="1" x14ac:dyDescent="0.25">
      <c r="A189" s="21"/>
      <c r="B189" s="21"/>
      <c r="C189" s="22"/>
      <c r="D189" s="353"/>
      <c r="E189" s="73"/>
      <c r="F189" s="7"/>
      <c r="G189" s="7"/>
      <c r="H189" s="7"/>
      <c r="I189" s="180"/>
      <c r="J189" s="180"/>
      <c r="K189" s="284"/>
      <c r="L189" s="193"/>
      <c r="M189" s="180"/>
      <c r="N189" s="180"/>
      <c r="O189" s="180"/>
      <c r="P189" s="180"/>
      <c r="Q189" s="180"/>
      <c r="R189" s="180"/>
      <c r="S189" s="24"/>
      <c r="T189" s="182"/>
      <c r="U189" s="24"/>
      <c r="V189" s="32"/>
      <c r="W189" s="240"/>
      <c r="X189" s="64"/>
      <c r="Y189" s="75"/>
      <c r="Z189" s="64"/>
      <c r="AA189" s="64"/>
      <c r="AB189" s="25"/>
      <c r="AC189" s="23"/>
      <c r="AD189" s="23"/>
      <c r="AE189" s="23"/>
      <c r="AF189" s="335"/>
      <c r="AG189" s="336"/>
      <c r="AH189" s="334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</row>
    <row r="190" spans="1:346" s="26" customFormat="1" ht="12" hidden="1" customHeight="1" x14ac:dyDescent="0.25">
      <c r="A190" s="21"/>
      <c r="B190" s="21"/>
      <c r="C190" s="22"/>
      <c r="D190" s="353"/>
      <c r="E190" s="73"/>
      <c r="F190" s="7"/>
      <c r="G190" s="7"/>
      <c r="H190" s="7"/>
      <c r="I190" s="180"/>
      <c r="J190" s="180"/>
      <c r="K190" s="284"/>
      <c r="L190" s="193"/>
      <c r="M190" s="180"/>
      <c r="N190" s="180"/>
      <c r="O190" s="180"/>
      <c r="P190" s="180"/>
      <c r="Q190" s="180"/>
      <c r="R190" s="180"/>
      <c r="S190" s="24"/>
      <c r="T190" s="182"/>
      <c r="U190" s="24"/>
      <c r="V190" s="32"/>
      <c r="W190" s="240"/>
      <c r="X190" s="64"/>
      <c r="Y190" s="75"/>
      <c r="Z190" s="64"/>
      <c r="AA190" s="64"/>
      <c r="AB190" s="25"/>
      <c r="AC190" s="23"/>
      <c r="AD190" s="23"/>
      <c r="AE190" s="23"/>
      <c r="AF190" s="335"/>
      <c r="AG190" s="336"/>
      <c r="AH190" s="334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</row>
    <row r="191" spans="1:346" s="26" customFormat="1" ht="12" hidden="1" customHeight="1" x14ac:dyDescent="0.25">
      <c r="A191" s="21"/>
      <c r="B191" s="21"/>
      <c r="C191" s="22"/>
      <c r="D191" s="353"/>
      <c r="E191" s="73"/>
      <c r="F191" s="7"/>
      <c r="G191" s="7"/>
      <c r="H191" s="7"/>
      <c r="I191" s="180"/>
      <c r="J191" s="180"/>
      <c r="K191" s="284"/>
      <c r="L191" s="193"/>
      <c r="M191" s="180"/>
      <c r="N191" s="180"/>
      <c r="O191" s="180"/>
      <c r="P191" s="180"/>
      <c r="Q191" s="180"/>
      <c r="R191" s="180"/>
      <c r="S191" s="24"/>
      <c r="T191" s="182"/>
      <c r="U191" s="24"/>
      <c r="V191" s="32"/>
      <c r="W191" s="240"/>
      <c r="X191" s="64"/>
      <c r="Y191" s="75"/>
      <c r="Z191" s="64"/>
      <c r="AA191" s="64"/>
      <c r="AB191" s="25"/>
      <c r="AC191" s="23"/>
      <c r="AD191" s="23"/>
      <c r="AE191" s="23"/>
      <c r="AF191" s="335"/>
      <c r="AG191" s="336"/>
      <c r="AH191" s="334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</row>
    <row r="192" spans="1:346" s="26" customFormat="1" ht="12" hidden="1" customHeight="1" x14ac:dyDescent="0.25">
      <c r="A192" s="21"/>
      <c r="B192" s="21"/>
      <c r="C192" s="22"/>
      <c r="D192" s="353"/>
      <c r="E192" s="73"/>
      <c r="F192" s="7"/>
      <c r="G192" s="7"/>
      <c r="H192" s="7"/>
      <c r="I192" s="180"/>
      <c r="J192" s="180"/>
      <c r="K192" s="284"/>
      <c r="L192" s="193"/>
      <c r="M192" s="180"/>
      <c r="N192" s="180"/>
      <c r="O192" s="180"/>
      <c r="P192" s="180"/>
      <c r="Q192" s="180"/>
      <c r="R192" s="180"/>
      <c r="S192" s="24"/>
      <c r="T192" s="182"/>
      <c r="U192" s="24"/>
      <c r="V192" s="32"/>
      <c r="W192" s="240"/>
      <c r="X192" s="64"/>
      <c r="Y192" s="75"/>
      <c r="Z192" s="64"/>
      <c r="AA192" s="64"/>
      <c r="AB192" s="25"/>
      <c r="AC192" s="23"/>
      <c r="AD192" s="23"/>
      <c r="AE192" s="23"/>
      <c r="AF192" s="335"/>
      <c r="AG192" s="336"/>
      <c r="AH192" s="334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</row>
    <row r="193" spans="1:346" s="26" customFormat="1" ht="12" hidden="1" customHeight="1" x14ac:dyDescent="0.25">
      <c r="A193" s="21"/>
      <c r="B193" s="21"/>
      <c r="C193" s="22"/>
      <c r="D193" s="353"/>
      <c r="E193" s="73"/>
      <c r="F193" s="7"/>
      <c r="G193" s="7"/>
      <c r="H193" s="7"/>
      <c r="I193" s="180"/>
      <c r="J193" s="180"/>
      <c r="K193" s="284"/>
      <c r="L193" s="193"/>
      <c r="M193" s="180"/>
      <c r="N193" s="180"/>
      <c r="O193" s="180"/>
      <c r="P193" s="180"/>
      <c r="Q193" s="180"/>
      <c r="R193" s="180"/>
      <c r="S193" s="24"/>
      <c r="T193" s="182"/>
      <c r="U193" s="24"/>
      <c r="V193" s="32"/>
      <c r="W193" s="240"/>
      <c r="X193" s="64"/>
      <c r="Y193" s="75"/>
      <c r="Z193" s="64"/>
      <c r="AA193" s="64"/>
      <c r="AB193" s="25"/>
      <c r="AC193" s="23"/>
      <c r="AD193" s="23"/>
      <c r="AE193" s="23"/>
      <c r="AF193" s="335"/>
      <c r="AG193" s="336"/>
      <c r="AH193" s="334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</row>
    <row r="194" spans="1:346" s="26" customFormat="1" ht="12" hidden="1" customHeight="1" x14ac:dyDescent="0.25">
      <c r="A194" s="21"/>
      <c r="B194" s="21"/>
      <c r="C194" s="22"/>
      <c r="D194" s="353"/>
      <c r="E194" s="73"/>
      <c r="F194" s="7"/>
      <c r="G194" s="7"/>
      <c r="H194" s="7"/>
      <c r="I194" s="180"/>
      <c r="J194" s="180"/>
      <c r="K194" s="284"/>
      <c r="L194" s="193"/>
      <c r="M194" s="180"/>
      <c r="N194" s="180"/>
      <c r="O194" s="180"/>
      <c r="P194" s="180"/>
      <c r="Q194" s="180"/>
      <c r="R194" s="180"/>
      <c r="S194" s="24"/>
      <c r="T194" s="182"/>
      <c r="U194" s="24"/>
      <c r="V194" s="32"/>
      <c r="W194" s="240"/>
      <c r="X194" s="64"/>
      <c r="Y194" s="75"/>
      <c r="Z194" s="64"/>
      <c r="AA194" s="64"/>
      <c r="AB194" s="25"/>
      <c r="AC194" s="23"/>
      <c r="AD194" s="23"/>
      <c r="AE194" s="23"/>
      <c r="AF194" s="335"/>
      <c r="AG194" s="336"/>
      <c r="AH194" s="334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</row>
    <row r="195" spans="1:346" s="26" customFormat="1" ht="12" hidden="1" customHeight="1" x14ac:dyDescent="0.25">
      <c r="A195" s="21"/>
      <c r="B195" s="21"/>
      <c r="C195" s="22"/>
      <c r="D195" s="353"/>
      <c r="E195" s="73"/>
      <c r="F195" s="7"/>
      <c r="G195" s="7"/>
      <c r="H195" s="7"/>
      <c r="I195" s="180"/>
      <c r="J195" s="180"/>
      <c r="K195" s="284"/>
      <c r="L195" s="193"/>
      <c r="M195" s="180"/>
      <c r="N195" s="180"/>
      <c r="O195" s="180"/>
      <c r="P195" s="180"/>
      <c r="Q195" s="180"/>
      <c r="R195" s="180"/>
      <c r="S195" s="24"/>
      <c r="T195" s="182"/>
      <c r="U195" s="24"/>
      <c r="V195" s="32"/>
      <c r="W195" s="240"/>
      <c r="X195" s="64"/>
      <c r="Y195" s="75"/>
      <c r="Z195" s="64"/>
      <c r="AA195" s="64"/>
      <c r="AB195" s="25"/>
      <c r="AC195" s="23"/>
      <c r="AD195" s="23"/>
      <c r="AE195" s="23"/>
      <c r="AF195" s="335"/>
      <c r="AG195" s="336"/>
      <c r="AH195" s="334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</row>
    <row r="196" spans="1:346" s="26" customFormat="1" ht="12" hidden="1" customHeight="1" x14ac:dyDescent="0.25">
      <c r="A196" s="21"/>
      <c r="B196" s="21"/>
      <c r="C196" s="22"/>
      <c r="D196" s="353"/>
      <c r="E196" s="73"/>
      <c r="F196" s="7"/>
      <c r="G196" s="7"/>
      <c r="H196" s="7"/>
      <c r="I196" s="180"/>
      <c r="J196" s="180"/>
      <c r="K196" s="284"/>
      <c r="L196" s="193"/>
      <c r="M196" s="180"/>
      <c r="N196" s="180"/>
      <c r="O196" s="180"/>
      <c r="P196" s="180"/>
      <c r="Q196" s="180"/>
      <c r="R196" s="180"/>
      <c r="S196" s="24"/>
      <c r="T196" s="182"/>
      <c r="U196" s="24"/>
      <c r="V196" s="32"/>
      <c r="W196" s="240"/>
      <c r="X196" s="64"/>
      <c r="Y196" s="75"/>
      <c r="Z196" s="64"/>
      <c r="AA196" s="64"/>
      <c r="AB196" s="25"/>
      <c r="AC196" s="23"/>
      <c r="AD196" s="23"/>
      <c r="AE196" s="23"/>
      <c r="AF196" s="335"/>
      <c r="AG196" s="336"/>
      <c r="AH196" s="334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</row>
    <row r="197" spans="1:346" s="26" customFormat="1" ht="12" hidden="1" customHeight="1" x14ac:dyDescent="0.25">
      <c r="A197" s="21"/>
      <c r="B197" s="21"/>
      <c r="C197" s="22"/>
      <c r="D197" s="353"/>
      <c r="E197" s="73"/>
      <c r="F197" s="7"/>
      <c r="G197" s="7"/>
      <c r="H197" s="7"/>
      <c r="I197" s="180"/>
      <c r="J197" s="180"/>
      <c r="K197" s="284"/>
      <c r="L197" s="193"/>
      <c r="M197" s="180"/>
      <c r="N197" s="180"/>
      <c r="O197" s="180"/>
      <c r="P197" s="180"/>
      <c r="Q197" s="180"/>
      <c r="R197" s="180"/>
      <c r="S197" s="24"/>
      <c r="T197" s="182"/>
      <c r="U197" s="24"/>
      <c r="V197" s="32"/>
      <c r="W197" s="240"/>
      <c r="X197" s="64"/>
      <c r="Y197" s="75"/>
      <c r="Z197" s="64"/>
      <c r="AA197" s="64"/>
      <c r="AB197" s="25"/>
      <c r="AC197" s="23"/>
      <c r="AD197" s="23"/>
      <c r="AE197" s="23"/>
      <c r="AF197" s="335"/>
      <c r="AG197" s="336"/>
      <c r="AH197" s="334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</row>
    <row r="198" spans="1:346" s="26" customFormat="1" ht="12" hidden="1" customHeight="1" x14ac:dyDescent="0.25">
      <c r="A198" s="21"/>
      <c r="B198" s="21"/>
      <c r="C198" s="22"/>
      <c r="D198" s="353"/>
      <c r="E198" s="73"/>
      <c r="F198" s="7"/>
      <c r="G198" s="7"/>
      <c r="H198" s="7"/>
      <c r="I198" s="180"/>
      <c r="J198" s="180"/>
      <c r="K198" s="284"/>
      <c r="L198" s="193"/>
      <c r="M198" s="180"/>
      <c r="N198" s="180"/>
      <c r="O198" s="180"/>
      <c r="P198" s="180"/>
      <c r="Q198" s="180"/>
      <c r="R198" s="180"/>
      <c r="S198" s="24"/>
      <c r="T198" s="182"/>
      <c r="U198" s="24"/>
      <c r="V198" s="32"/>
      <c r="W198" s="240"/>
      <c r="X198" s="64"/>
      <c r="Y198" s="75"/>
      <c r="Z198" s="64"/>
      <c r="AA198" s="64"/>
      <c r="AB198" s="25"/>
      <c r="AC198" s="23"/>
      <c r="AD198" s="23"/>
      <c r="AE198" s="23"/>
      <c r="AF198" s="335"/>
      <c r="AG198" s="336"/>
      <c r="AH198" s="334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</row>
    <row r="199" spans="1:346" s="26" customFormat="1" ht="12" hidden="1" customHeight="1" x14ac:dyDescent="0.25">
      <c r="A199" s="21"/>
      <c r="B199" s="21"/>
      <c r="C199" s="22"/>
      <c r="D199" s="353"/>
      <c r="E199" s="73"/>
      <c r="F199" s="7"/>
      <c r="G199" s="7"/>
      <c r="H199" s="7"/>
      <c r="I199" s="180"/>
      <c r="J199" s="180"/>
      <c r="K199" s="284"/>
      <c r="L199" s="193"/>
      <c r="M199" s="180"/>
      <c r="N199" s="180"/>
      <c r="O199" s="180"/>
      <c r="P199" s="180"/>
      <c r="Q199" s="180"/>
      <c r="R199" s="180"/>
      <c r="S199" s="24"/>
      <c r="T199" s="182"/>
      <c r="U199" s="24"/>
      <c r="V199" s="32"/>
      <c r="W199" s="240"/>
      <c r="X199" s="64"/>
      <c r="Y199" s="75"/>
      <c r="Z199" s="64"/>
      <c r="AA199" s="64"/>
      <c r="AB199" s="25"/>
      <c r="AC199" s="23"/>
      <c r="AD199" s="23"/>
      <c r="AE199" s="23"/>
      <c r="AF199" s="335"/>
      <c r="AG199" s="336"/>
      <c r="AH199" s="334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</row>
    <row r="200" spans="1:346" s="26" customFormat="1" ht="12" hidden="1" customHeight="1" x14ac:dyDescent="0.25">
      <c r="A200" s="21"/>
      <c r="B200" s="21"/>
      <c r="C200" s="22"/>
      <c r="D200" s="353"/>
      <c r="E200" s="73"/>
      <c r="F200" s="7"/>
      <c r="G200" s="7"/>
      <c r="H200" s="7"/>
      <c r="I200" s="180"/>
      <c r="J200" s="180"/>
      <c r="K200" s="284"/>
      <c r="L200" s="193"/>
      <c r="M200" s="180"/>
      <c r="N200" s="180"/>
      <c r="O200" s="180"/>
      <c r="P200" s="180"/>
      <c r="Q200" s="180"/>
      <c r="R200" s="180"/>
      <c r="S200" s="24"/>
      <c r="T200" s="182"/>
      <c r="U200" s="24"/>
      <c r="V200" s="32"/>
      <c r="W200" s="240"/>
      <c r="X200" s="64"/>
      <c r="Y200" s="75"/>
      <c r="Z200" s="64"/>
      <c r="AA200" s="64"/>
      <c r="AB200" s="25"/>
      <c r="AC200" s="23"/>
      <c r="AD200" s="23"/>
      <c r="AE200" s="23"/>
      <c r="AF200" s="335"/>
      <c r="AG200" s="336"/>
      <c r="AH200" s="334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</row>
    <row r="201" spans="1:346" s="26" customFormat="1" ht="12" hidden="1" customHeight="1" x14ac:dyDescent="0.25">
      <c r="A201" s="21"/>
      <c r="B201" s="21"/>
      <c r="C201" s="22"/>
      <c r="D201" s="353"/>
      <c r="E201" s="73"/>
      <c r="F201" s="7"/>
      <c r="G201" s="7"/>
      <c r="H201" s="7"/>
      <c r="I201" s="180"/>
      <c r="J201" s="180"/>
      <c r="K201" s="284"/>
      <c r="L201" s="193"/>
      <c r="M201" s="180"/>
      <c r="N201" s="180"/>
      <c r="O201" s="180"/>
      <c r="P201" s="180"/>
      <c r="Q201" s="180"/>
      <c r="R201" s="180"/>
      <c r="S201" s="24"/>
      <c r="T201" s="182"/>
      <c r="U201" s="24"/>
      <c r="V201" s="32"/>
      <c r="W201" s="240"/>
      <c r="X201" s="64"/>
      <c r="Y201" s="75"/>
      <c r="Z201" s="64"/>
      <c r="AA201" s="64"/>
      <c r="AB201" s="25"/>
      <c r="AC201" s="23"/>
      <c r="AD201" s="23"/>
      <c r="AE201" s="23"/>
      <c r="AF201" s="335"/>
      <c r="AG201" s="336"/>
      <c r="AH201" s="334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</row>
    <row r="202" spans="1:346" s="26" customFormat="1" ht="12" hidden="1" customHeight="1" x14ac:dyDescent="0.25">
      <c r="A202" s="21"/>
      <c r="B202" s="21"/>
      <c r="C202" s="22"/>
      <c r="D202" s="353"/>
      <c r="E202" s="73"/>
      <c r="F202" s="7"/>
      <c r="G202" s="7"/>
      <c r="H202" s="7"/>
      <c r="I202" s="180"/>
      <c r="J202" s="180"/>
      <c r="K202" s="284"/>
      <c r="L202" s="193"/>
      <c r="M202" s="180"/>
      <c r="N202" s="180"/>
      <c r="O202" s="180"/>
      <c r="P202" s="180"/>
      <c r="Q202" s="180"/>
      <c r="R202" s="180"/>
      <c r="S202" s="24"/>
      <c r="T202" s="182"/>
      <c r="U202" s="24"/>
      <c r="V202" s="32"/>
      <c r="W202" s="240"/>
      <c r="X202" s="64"/>
      <c r="Y202" s="75"/>
      <c r="Z202" s="64"/>
      <c r="AA202" s="64"/>
      <c r="AB202" s="25"/>
      <c r="AC202" s="23"/>
      <c r="AD202" s="23"/>
      <c r="AE202" s="23"/>
      <c r="AF202" s="335"/>
      <c r="AG202" s="336"/>
      <c r="AH202" s="334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</row>
    <row r="203" spans="1:346" s="26" customFormat="1" ht="12" hidden="1" customHeight="1" x14ac:dyDescent="0.25">
      <c r="A203" s="21"/>
      <c r="B203" s="21"/>
      <c r="C203" s="22"/>
      <c r="D203" s="353"/>
      <c r="E203" s="73"/>
      <c r="F203" s="7"/>
      <c r="G203" s="7"/>
      <c r="H203" s="7"/>
      <c r="I203" s="180"/>
      <c r="J203" s="180"/>
      <c r="K203" s="284"/>
      <c r="L203" s="193"/>
      <c r="M203" s="180"/>
      <c r="N203" s="180"/>
      <c r="O203" s="180"/>
      <c r="P203" s="180"/>
      <c r="Q203" s="180"/>
      <c r="R203" s="180"/>
      <c r="S203" s="24"/>
      <c r="T203" s="182"/>
      <c r="U203" s="24"/>
      <c r="V203" s="32"/>
      <c r="W203" s="240"/>
      <c r="X203" s="64"/>
      <c r="Y203" s="75"/>
      <c r="Z203" s="64"/>
      <c r="AA203" s="64"/>
      <c r="AB203" s="25"/>
      <c r="AC203" s="23"/>
      <c r="AD203" s="23"/>
      <c r="AE203" s="23"/>
      <c r="AF203" s="335"/>
      <c r="AG203" s="336"/>
      <c r="AH203" s="334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</row>
    <row r="204" spans="1:346" s="26" customFormat="1" ht="12" hidden="1" customHeight="1" x14ac:dyDescent="0.25">
      <c r="A204" s="21"/>
      <c r="B204" s="21"/>
      <c r="C204" s="22"/>
      <c r="D204" s="353"/>
      <c r="E204" s="73"/>
      <c r="F204" s="7"/>
      <c r="G204" s="7"/>
      <c r="H204" s="7"/>
      <c r="I204" s="180"/>
      <c r="J204" s="180"/>
      <c r="K204" s="284"/>
      <c r="L204" s="193"/>
      <c r="M204" s="180"/>
      <c r="N204" s="180"/>
      <c r="O204" s="180"/>
      <c r="P204" s="180"/>
      <c r="Q204" s="180"/>
      <c r="R204" s="180"/>
      <c r="S204" s="24"/>
      <c r="T204" s="182"/>
      <c r="U204" s="24"/>
      <c r="V204" s="32"/>
      <c r="W204" s="240"/>
      <c r="X204" s="64"/>
      <c r="Y204" s="75"/>
      <c r="Z204" s="64"/>
      <c r="AA204" s="64"/>
      <c r="AB204" s="25"/>
      <c r="AC204" s="23"/>
      <c r="AD204" s="23"/>
      <c r="AE204" s="23"/>
      <c r="AF204" s="335"/>
      <c r="AG204" s="336"/>
      <c r="AH204" s="334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</row>
    <row r="205" spans="1:346" s="26" customFormat="1" ht="12" hidden="1" customHeight="1" x14ac:dyDescent="0.25">
      <c r="A205" s="21"/>
      <c r="B205" s="21"/>
      <c r="C205" s="22"/>
      <c r="D205" s="353"/>
      <c r="E205" s="73"/>
      <c r="F205" s="7"/>
      <c r="G205" s="7"/>
      <c r="H205" s="7"/>
      <c r="I205" s="180"/>
      <c r="J205" s="180"/>
      <c r="K205" s="284"/>
      <c r="L205" s="193"/>
      <c r="M205" s="180"/>
      <c r="N205" s="180"/>
      <c r="O205" s="180"/>
      <c r="P205" s="180"/>
      <c r="Q205" s="180"/>
      <c r="R205" s="180"/>
      <c r="S205" s="24"/>
      <c r="T205" s="182"/>
      <c r="U205" s="24"/>
      <c r="V205" s="32"/>
      <c r="W205" s="240"/>
      <c r="X205" s="64"/>
      <c r="Y205" s="75"/>
      <c r="Z205" s="64"/>
      <c r="AA205" s="64"/>
      <c r="AB205" s="25"/>
      <c r="AC205" s="23"/>
      <c r="AD205" s="23"/>
      <c r="AE205" s="23"/>
      <c r="AF205" s="335"/>
      <c r="AG205" s="336"/>
      <c r="AH205" s="334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</row>
    <row r="206" spans="1:346" s="26" customFormat="1" ht="12" hidden="1" customHeight="1" x14ac:dyDescent="0.25">
      <c r="A206" s="21"/>
      <c r="B206" s="21"/>
      <c r="C206" s="22"/>
      <c r="D206" s="353"/>
      <c r="E206" s="73"/>
      <c r="F206" s="7"/>
      <c r="G206" s="7"/>
      <c r="H206" s="7"/>
      <c r="I206" s="180"/>
      <c r="J206" s="180"/>
      <c r="K206" s="284"/>
      <c r="L206" s="193"/>
      <c r="M206" s="180"/>
      <c r="N206" s="180"/>
      <c r="O206" s="180"/>
      <c r="P206" s="180"/>
      <c r="Q206" s="180"/>
      <c r="R206" s="180"/>
      <c r="S206" s="24"/>
      <c r="T206" s="182"/>
      <c r="U206" s="24"/>
      <c r="V206" s="32"/>
      <c r="W206" s="240"/>
      <c r="X206" s="64"/>
      <c r="Y206" s="75"/>
      <c r="Z206" s="64"/>
      <c r="AA206" s="64"/>
      <c r="AB206" s="25"/>
      <c r="AC206" s="23"/>
      <c r="AD206" s="23"/>
      <c r="AE206" s="23"/>
      <c r="AF206" s="335"/>
      <c r="AG206" s="336"/>
      <c r="AH206" s="334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</row>
    <row r="207" spans="1:346" s="26" customFormat="1" ht="12" hidden="1" customHeight="1" x14ac:dyDescent="0.25">
      <c r="A207" s="21"/>
      <c r="B207" s="21"/>
      <c r="C207" s="22"/>
      <c r="D207" s="353"/>
      <c r="E207" s="73"/>
      <c r="F207" s="7"/>
      <c r="G207" s="7"/>
      <c r="H207" s="7"/>
      <c r="I207" s="180"/>
      <c r="J207" s="180"/>
      <c r="K207" s="284"/>
      <c r="L207" s="193"/>
      <c r="M207" s="180"/>
      <c r="N207" s="180"/>
      <c r="O207" s="180"/>
      <c r="P207" s="180"/>
      <c r="Q207" s="180"/>
      <c r="R207" s="180"/>
      <c r="S207" s="24"/>
      <c r="T207" s="182"/>
      <c r="U207" s="24"/>
      <c r="V207" s="32"/>
      <c r="W207" s="240"/>
      <c r="X207" s="64"/>
      <c r="Y207" s="75"/>
      <c r="Z207" s="64"/>
      <c r="AA207" s="64"/>
      <c r="AB207" s="25"/>
      <c r="AC207" s="23"/>
      <c r="AD207" s="23"/>
      <c r="AE207" s="23"/>
      <c r="AF207" s="335"/>
      <c r="AG207" s="336"/>
      <c r="AH207" s="334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</row>
    <row r="208" spans="1:346" s="26" customFormat="1" ht="12" hidden="1" customHeight="1" x14ac:dyDescent="0.25">
      <c r="A208" s="21"/>
      <c r="B208" s="21"/>
      <c r="C208" s="22"/>
      <c r="D208" s="353"/>
      <c r="E208" s="73"/>
      <c r="F208" s="7"/>
      <c r="G208" s="7"/>
      <c r="H208" s="7"/>
      <c r="I208" s="180"/>
      <c r="J208" s="180"/>
      <c r="K208" s="284"/>
      <c r="L208" s="193"/>
      <c r="M208" s="180"/>
      <c r="N208" s="180"/>
      <c r="O208" s="180"/>
      <c r="P208" s="180"/>
      <c r="Q208" s="180"/>
      <c r="R208" s="180"/>
      <c r="S208" s="24"/>
      <c r="T208" s="182"/>
      <c r="U208" s="24"/>
      <c r="V208" s="32"/>
      <c r="W208" s="240"/>
      <c r="X208" s="64"/>
      <c r="Y208" s="75"/>
      <c r="Z208" s="64"/>
      <c r="AA208" s="64"/>
      <c r="AB208" s="25"/>
      <c r="AC208" s="23"/>
      <c r="AD208" s="23"/>
      <c r="AE208" s="23"/>
      <c r="AF208" s="335"/>
      <c r="AG208" s="336"/>
      <c r="AH208" s="334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</row>
    <row r="209" spans="1:346" s="26" customFormat="1" ht="12" hidden="1" customHeight="1" x14ac:dyDescent="0.25">
      <c r="A209" s="21"/>
      <c r="B209" s="21"/>
      <c r="C209" s="22"/>
      <c r="D209" s="353"/>
      <c r="E209" s="73"/>
      <c r="F209" s="7"/>
      <c r="G209" s="7"/>
      <c r="H209" s="7"/>
      <c r="I209" s="180"/>
      <c r="J209" s="180"/>
      <c r="K209" s="284"/>
      <c r="L209" s="193"/>
      <c r="M209" s="180"/>
      <c r="N209" s="180"/>
      <c r="O209" s="180"/>
      <c r="P209" s="180"/>
      <c r="Q209" s="180"/>
      <c r="R209" s="180"/>
      <c r="S209" s="24"/>
      <c r="T209" s="182"/>
      <c r="U209" s="24"/>
      <c r="V209" s="32"/>
      <c r="W209" s="240"/>
      <c r="X209" s="64"/>
      <c r="Y209" s="75"/>
      <c r="Z209" s="64"/>
      <c r="AA209" s="64"/>
      <c r="AB209" s="25"/>
      <c r="AC209" s="23"/>
      <c r="AD209" s="23"/>
      <c r="AE209" s="23"/>
      <c r="AF209" s="335"/>
      <c r="AG209" s="336"/>
      <c r="AH209" s="334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</row>
    <row r="210" spans="1:346" s="26" customFormat="1" ht="12" hidden="1" customHeight="1" x14ac:dyDescent="0.25">
      <c r="A210" s="21"/>
      <c r="B210" s="21"/>
      <c r="C210" s="22"/>
      <c r="D210" s="353"/>
      <c r="E210" s="73"/>
      <c r="F210" s="7"/>
      <c r="G210" s="7"/>
      <c r="H210" s="7"/>
      <c r="I210" s="180"/>
      <c r="J210" s="180"/>
      <c r="K210" s="284"/>
      <c r="L210" s="193"/>
      <c r="M210" s="180"/>
      <c r="N210" s="180"/>
      <c r="O210" s="180"/>
      <c r="P210" s="180"/>
      <c r="Q210" s="180"/>
      <c r="R210" s="180"/>
      <c r="S210" s="24"/>
      <c r="T210" s="182"/>
      <c r="U210" s="24"/>
      <c r="V210" s="32"/>
      <c r="W210" s="240"/>
      <c r="X210" s="64"/>
      <c r="Y210" s="75"/>
      <c r="Z210" s="64"/>
      <c r="AA210" s="64"/>
      <c r="AB210" s="25"/>
      <c r="AC210" s="23"/>
      <c r="AD210" s="23"/>
      <c r="AE210" s="23"/>
      <c r="AF210" s="335"/>
      <c r="AG210" s="336"/>
      <c r="AH210" s="334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</row>
    <row r="211" spans="1:346" s="26" customFormat="1" ht="12" hidden="1" customHeight="1" x14ac:dyDescent="0.25">
      <c r="A211" s="21"/>
      <c r="B211" s="21"/>
      <c r="C211" s="22"/>
      <c r="D211" s="353"/>
      <c r="E211" s="73"/>
      <c r="F211" s="7"/>
      <c r="G211" s="7"/>
      <c r="H211" s="7"/>
      <c r="I211" s="180"/>
      <c r="J211" s="180"/>
      <c r="K211" s="284"/>
      <c r="L211" s="193"/>
      <c r="M211" s="180"/>
      <c r="N211" s="180"/>
      <c r="O211" s="180"/>
      <c r="P211" s="180"/>
      <c r="Q211" s="180"/>
      <c r="R211" s="180"/>
      <c r="S211" s="24"/>
      <c r="T211" s="182"/>
      <c r="U211" s="24"/>
      <c r="V211" s="32"/>
      <c r="W211" s="240"/>
      <c r="X211" s="64"/>
      <c r="Y211" s="75"/>
      <c r="Z211" s="64"/>
      <c r="AA211" s="64"/>
      <c r="AB211" s="25"/>
      <c r="AC211" s="23"/>
      <c r="AD211" s="23"/>
      <c r="AE211" s="23"/>
      <c r="AF211" s="335"/>
      <c r="AG211" s="336"/>
      <c r="AH211" s="334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</row>
    <row r="212" spans="1:346" s="26" customFormat="1" ht="12" hidden="1" customHeight="1" x14ac:dyDescent="0.25">
      <c r="A212" s="21"/>
      <c r="B212" s="21"/>
      <c r="C212" s="22"/>
      <c r="D212" s="353"/>
      <c r="E212" s="73"/>
      <c r="F212" s="7"/>
      <c r="G212" s="7"/>
      <c r="H212" s="7"/>
      <c r="I212" s="180"/>
      <c r="J212" s="180"/>
      <c r="K212" s="284"/>
      <c r="L212" s="193"/>
      <c r="M212" s="180"/>
      <c r="N212" s="180"/>
      <c r="O212" s="180"/>
      <c r="P212" s="180"/>
      <c r="Q212" s="180"/>
      <c r="R212" s="180"/>
      <c r="S212" s="24"/>
      <c r="T212" s="182"/>
      <c r="U212" s="24"/>
      <c r="V212" s="32"/>
      <c r="W212" s="240"/>
      <c r="X212" s="64"/>
      <c r="Y212" s="75"/>
      <c r="Z212" s="64"/>
      <c r="AA212" s="64"/>
      <c r="AB212" s="25"/>
      <c r="AC212" s="23"/>
      <c r="AD212" s="23"/>
      <c r="AE212" s="23"/>
      <c r="AF212" s="335"/>
      <c r="AG212" s="336"/>
      <c r="AH212" s="334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</row>
    <row r="213" spans="1:346" s="26" customFormat="1" ht="12" hidden="1" customHeight="1" x14ac:dyDescent="0.25">
      <c r="A213" s="21"/>
      <c r="B213" s="21"/>
      <c r="C213" s="22"/>
      <c r="D213" s="353"/>
      <c r="E213" s="73"/>
      <c r="F213" s="7"/>
      <c r="G213" s="7"/>
      <c r="H213" s="7"/>
      <c r="I213" s="180"/>
      <c r="J213" s="180"/>
      <c r="K213" s="284"/>
      <c r="L213" s="193"/>
      <c r="M213" s="180"/>
      <c r="N213" s="180"/>
      <c r="O213" s="180"/>
      <c r="P213" s="180"/>
      <c r="Q213" s="180"/>
      <c r="R213" s="180"/>
      <c r="S213" s="24"/>
      <c r="T213" s="182"/>
      <c r="U213" s="24"/>
      <c r="V213" s="32"/>
      <c r="W213" s="240"/>
      <c r="X213" s="64"/>
      <c r="Y213" s="75"/>
      <c r="Z213" s="64"/>
      <c r="AA213" s="64"/>
      <c r="AB213" s="25"/>
      <c r="AC213" s="23"/>
      <c r="AD213" s="23"/>
      <c r="AE213" s="23"/>
      <c r="AF213" s="335"/>
      <c r="AG213" s="336"/>
      <c r="AH213" s="334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</row>
    <row r="214" spans="1:346" s="26" customFormat="1" ht="12" hidden="1" customHeight="1" x14ac:dyDescent="0.25">
      <c r="A214" s="21"/>
      <c r="B214" s="21"/>
      <c r="C214" s="22"/>
      <c r="D214" s="353"/>
      <c r="E214" s="73"/>
      <c r="F214" s="7"/>
      <c r="G214" s="7"/>
      <c r="H214" s="7"/>
      <c r="I214" s="180"/>
      <c r="J214" s="180"/>
      <c r="K214" s="284"/>
      <c r="L214" s="193"/>
      <c r="M214" s="180"/>
      <c r="N214" s="180"/>
      <c r="O214" s="180"/>
      <c r="P214" s="180"/>
      <c r="Q214" s="180"/>
      <c r="R214" s="180"/>
      <c r="S214" s="24"/>
      <c r="T214" s="182"/>
      <c r="U214" s="24"/>
      <c r="V214" s="32"/>
      <c r="W214" s="240"/>
      <c r="X214" s="64"/>
      <c r="Y214" s="75"/>
      <c r="Z214" s="64"/>
      <c r="AA214" s="64"/>
      <c r="AB214" s="25"/>
      <c r="AC214" s="23"/>
      <c r="AD214" s="23"/>
      <c r="AE214" s="23"/>
      <c r="AF214" s="335"/>
      <c r="AG214" s="336"/>
      <c r="AH214" s="334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</row>
    <row r="215" spans="1:346" s="26" customFormat="1" ht="12" hidden="1" customHeight="1" x14ac:dyDescent="0.25">
      <c r="A215" s="21"/>
      <c r="B215" s="21"/>
      <c r="C215" s="22"/>
      <c r="D215" s="353"/>
      <c r="E215" s="73"/>
      <c r="F215" s="7"/>
      <c r="G215" s="7"/>
      <c r="H215" s="7"/>
      <c r="I215" s="180"/>
      <c r="J215" s="180"/>
      <c r="K215" s="284"/>
      <c r="L215" s="193"/>
      <c r="M215" s="180"/>
      <c r="N215" s="180"/>
      <c r="O215" s="180"/>
      <c r="P215" s="180"/>
      <c r="Q215" s="180"/>
      <c r="R215" s="180"/>
      <c r="S215" s="24"/>
      <c r="T215" s="182"/>
      <c r="U215" s="24"/>
      <c r="V215" s="32"/>
      <c r="W215" s="240"/>
      <c r="X215" s="64"/>
      <c r="Y215" s="75"/>
      <c r="Z215" s="64"/>
      <c r="AA215" s="64"/>
      <c r="AB215" s="25"/>
      <c r="AC215" s="23"/>
      <c r="AD215" s="23"/>
      <c r="AE215" s="23"/>
      <c r="AF215" s="335"/>
      <c r="AG215" s="336"/>
      <c r="AH215" s="334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</row>
    <row r="216" spans="1:346" s="26" customFormat="1" ht="12" hidden="1" customHeight="1" x14ac:dyDescent="0.25">
      <c r="A216" s="21"/>
      <c r="B216" s="21"/>
      <c r="C216" s="22"/>
      <c r="D216" s="353"/>
      <c r="E216" s="73"/>
      <c r="F216" s="7"/>
      <c r="G216" s="7"/>
      <c r="H216" s="7"/>
      <c r="I216" s="180"/>
      <c r="J216" s="180"/>
      <c r="K216" s="284"/>
      <c r="L216" s="193"/>
      <c r="M216" s="180"/>
      <c r="N216" s="180"/>
      <c r="O216" s="180"/>
      <c r="P216" s="180"/>
      <c r="Q216" s="180"/>
      <c r="R216" s="180"/>
      <c r="S216" s="24"/>
      <c r="T216" s="182"/>
      <c r="U216" s="24"/>
      <c r="V216" s="32"/>
      <c r="W216" s="240"/>
      <c r="X216" s="64"/>
      <c r="Y216" s="75"/>
      <c r="Z216" s="64"/>
      <c r="AA216" s="64"/>
      <c r="AB216" s="25"/>
      <c r="AC216" s="23"/>
      <c r="AD216" s="23"/>
      <c r="AE216" s="23"/>
      <c r="AF216" s="335"/>
      <c r="AG216" s="336"/>
      <c r="AH216" s="334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</row>
    <row r="217" spans="1:346" s="26" customFormat="1" ht="12" hidden="1" customHeight="1" x14ac:dyDescent="0.25">
      <c r="A217" s="21"/>
      <c r="B217" s="21"/>
      <c r="C217" s="22"/>
      <c r="D217" s="353"/>
      <c r="E217" s="73"/>
      <c r="F217" s="7"/>
      <c r="G217" s="7"/>
      <c r="H217" s="7"/>
      <c r="I217" s="180"/>
      <c r="J217" s="180"/>
      <c r="K217" s="284"/>
      <c r="L217" s="193"/>
      <c r="M217" s="180"/>
      <c r="N217" s="180"/>
      <c r="O217" s="180"/>
      <c r="P217" s="180"/>
      <c r="Q217" s="180"/>
      <c r="R217" s="180"/>
      <c r="S217" s="24"/>
      <c r="T217" s="182"/>
      <c r="U217" s="24"/>
      <c r="V217" s="32"/>
      <c r="W217" s="240"/>
      <c r="X217" s="64"/>
      <c r="Y217" s="75"/>
      <c r="Z217" s="64"/>
      <c r="AA217" s="64"/>
      <c r="AB217" s="25"/>
      <c r="AC217" s="23"/>
      <c r="AD217" s="23"/>
      <c r="AE217" s="23"/>
      <c r="AF217" s="335"/>
      <c r="AG217" s="336"/>
      <c r="AH217" s="334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</row>
    <row r="218" spans="1:346" s="26" customFormat="1" ht="12" hidden="1" customHeight="1" x14ac:dyDescent="0.25">
      <c r="A218" s="21"/>
      <c r="B218" s="21"/>
      <c r="C218" s="22"/>
      <c r="D218" s="353"/>
      <c r="E218" s="73"/>
      <c r="F218" s="7"/>
      <c r="G218" s="7"/>
      <c r="H218" s="7"/>
      <c r="I218" s="180"/>
      <c r="J218" s="180"/>
      <c r="K218" s="284"/>
      <c r="L218" s="193"/>
      <c r="M218" s="180"/>
      <c r="N218" s="180"/>
      <c r="O218" s="180"/>
      <c r="P218" s="180"/>
      <c r="Q218" s="180"/>
      <c r="R218" s="180"/>
      <c r="S218" s="24"/>
      <c r="T218" s="182"/>
      <c r="U218" s="24"/>
      <c r="V218" s="32"/>
      <c r="W218" s="240"/>
      <c r="X218" s="64"/>
      <c r="Y218" s="75"/>
      <c r="Z218" s="64"/>
      <c r="AA218" s="64"/>
      <c r="AB218" s="25"/>
      <c r="AC218" s="23"/>
      <c r="AD218" s="23"/>
      <c r="AE218" s="23"/>
      <c r="AF218" s="335"/>
      <c r="AG218" s="336"/>
      <c r="AH218" s="334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</row>
    <row r="219" spans="1:346" s="26" customFormat="1" ht="12" hidden="1" customHeight="1" x14ac:dyDescent="0.25">
      <c r="A219" s="21"/>
      <c r="B219" s="21"/>
      <c r="C219" s="22"/>
      <c r="D219" s="353"/>
      <c r="E219" s="73"/>
      <c r="F219" s="7"/>
      <c r="G219" s="7"/>
      <c r="H219" s="7"/>
      <c r="I219" s="180"/>
      <c r="J219" s="180"/>
      <c r="K219" s="284"/>
      <c r="L219" s="193"/>
      <c r="M219" s="180"/>
      <c r="N219" s="180"/>
      <c r="O219" s="180"/>
      <c r="P219" s="180"/>
      <c r="Q219" s="180"/>
      <c r="R219" s="180"/>
      <c r="S219" s="24"/>
      <c r="T219" s="182"/>
      <c r="U219" s="24"/>
      <c r="V219" s="32"/>
      <c r="W219" s="240"/>
      <c r="X219" s="64"/>
      <c r="Y219" s="75"/>
      <c r="Z219" s="64"/>
      <c r="AA219" s="64"/>
      <c r="AB219" s="25"/>
      <c r="AC219" s="23"/>
      <c r="AD219" s="23"/>
      <c r="AE219" s="23"/>
      <c r="AF219" s="335"/>
      <c r="AG219" s="336"/>
      <c r="AH219" s="334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</row>
    <row r="220" spans="1:346" s="26" customFormat="1" ht="12" hidden="1" customHeight="1" x14ac:dyDescent="0.25">
      <c r="A220" s="21"/>
      <c r="B220" s="21"/>
      <c r="C220" s="22"/>
      <c r="D220" s="353"/>
      <c r="E220" s="73"/>
      <c r="F220" s="7"/>
      <c r="G220" s="7"/>
      <c r="H220" s="7"/>
      <c r="I220" s="180"/>
      <c r="J220" s="180"/>
      <c r="K220" s="284"/>
      <c r="L220" s="193"/>
      <c r="M220" s="180"/>
      <c r="N220" s="180"/>
      <c r="O220" s="180"/>
      <c r="P220" s="180"/>
      <c r="Q220" s="180"/>
      <c r="R220" s="180"/>
      <c r="S220" s="24"/>
      <c r="T220" s="182"/>
      <c r="U220" s="24"/>
      <c r="V220" s="32"/>
      <c r="W220" s="240"/>
      <c r="X220" s="64"/>
      <c r="Y220" s="75"/>
      <c r="Z220" s="64"/>
      <c r="AA220" s="64"/>
      <c r="AB220" s="25"/>
      <c r="AC220" s="23"/>
      <c r="AD220" s="23"/>
      <c r="AE220" s="23"/>
      <c r="AF220" s="335"/>
      <c r="AG220" s="336"/>
      <c r="AH220" s="334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</row>
    <row r="221" spans="1:346" s="26" customFormat="1" ht="12" hidden="1" customHeight="1" x14ac:dyDescent="0.25">
      <c r="A221" s="21"/>
      <c r="B221" s="21"/>
      <c r="C221" s="22"/>
      <c r="D221" s="353"/>
      <c r="E221" s="73"/>
      <c r="F221" s="7"/>
      <c r="G221" s="7"/>
      <c r="H221" s="7"/>
      <c r="I221" s="180"/>
      <c r="J221" s="180"/>
      <c r="K221" s="284"/>
      <c r="L221" s="193"/>
      <c r="M221" s="180"/>
      <c r="N221" s="180"/>
      <c r="O221" s="180"/>
      <c r="P221" s="180"/>
      <c r="Q221" s="180"/>
      <c r="R221" s="180"/>
      <c r="S221" s="24"/>
      <c r="T221" s="182"/>
      <c r="U221" s="24"/>
      <c r="V221" s="32"/>
      <c r="W221" s="240"/>
      <c r="X221" s="64"/>
      <c r="Y221" s="75"/>
      <c r="Z221" s="64"/>
      <c r="AA221" s="64"/>
      <c r="AB221" s="25"/>
      <c r="AC221" s="23"/>
      <c r="AD221" s="23"/>
      <c r="AE221" s="23"/>
      <c r="AF221" s="335"/>
      <c r="AG221" s="336"/>
      <c r="AH221" s="334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</row>
    <row r="222" spans="1:346" s="26" customFormat="1" ht="12" hidden="1" customHeight="1" x14ac:dyDescent="0.25">
      <c r="A222" s="21"/>
      <c r="B222" s="21"/>
      <c r="C222" s="22"/>
      <c r="D222" s="353"/>
      <c r="E222" s="73"/>
      <c r="F222" s="7"/>
      <c r="G222" s="7"/>
      <c r="H222" s="7"/>
      <c r="I222" s="180"/>
      <c r="J222" s="180"/>
      <c r="K222" s="284"/>
      <c r="L222" s="193"/>
      <c r="M222" s="180"/>
      <c r="N222" s="180"/>
      <c r="O222" s="180"/>
      <c r="P222" s="180"/>
      <c r="Q222" s="180"/>
      <c r="R222" s="180"/>
      <c r="S222" s="24"/>
      <c r="T222" s="182"/>
      <c r="U222" s="24"/>
      <c r="V222" s="32"/>
      <c r="W222" s="240"/>
      <c r="X222" s="64"/>
      <c r="Y222" s="75"/>
      <c r="Z222" s="64"/>
      <c r="AA222" s="64"/>
      <c r="AB222" s="25"/>
      <c r="AC222" s="23"/>
      <c r="AD222" s="23"/>
      <c r="AE222" s="23"/>
      <c r="AF222" s="335"/>
      <c r="AG222" s="336"/>
      <c r="AH222" s="334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</row>
    <row r="223" spans="1:346" s="26" customFormat="1" ht="12" hidden="1" customHeight="1" x14ac:dyDescent="0.25">
      <c r="A223" s="21"/>
      <c r="B223" s="21"/>
      <c r="C223" s="22"/>
      <c r="D223" s="353"/>
      <c r="E223" s="73"/>
      <c r="F223" s="7"/>
      <c r="G223" s="7"/>
      <c r="H223" s="7"/>
      <c r="I223" s="180"/>
      <c r="J223" s="180"/>
      <c r="K223" s="284"/>
      <c r="L223" s="193"/>
      <c r="M223" s="180"/>
      <c r="N223" s="180"/>
      <c r="O223" s="180"/>
      <c r="P223" s="180"/>
      <c r="Q223" s="180"/>
      <c r="R223" s="180"/>
      <c r="S223" s="24"/>
      <c r="T223" s="182"/>
      <c r="U223" s="24"/>
      <c r="V223" s="32"/>
      <c r="W223" s="240"/>
      <c r="X223" s="64"/>
      <c r="Y223" s="75"/>
      <c r="Z223" s="64"/>
      <c r="AA223" s="64"/>
      <c r="AB223" s="25"/>
      <c r="AC223" s="23"/>
      <c r="AD223" s="23"/>
      <c r="AE223" s="23"/>
      <c r="AF223" s="335"/>
      <c r="AG223" s="336"/>
      <c r="AH223" s="334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</row>
    <row r="224" spans="1:346" s="26" customFormat="1" ht="12" hidden="1" customHeight="1" x14ac:dyDescent="0.25">
      <c r="A224" s="21"/>
      <c r="B224" s="21"/>
      <c r="C224" s="22"/>
      <c r="D224" s="353"/>
      <c r="E224" s="73"/>
      <c r="F224" s="7"/>
      <c r="G224" s="7"/>
      <c r="H224" s="7"/>
      <c r="I224" s="180"/>
      <c r="J224" s="180"/>
      <c r="K224" s="284"/>
      <c r="L224" s="193"/>
      <c r="M224" s="180"/>
      <c r="N224" s="180"/>
      <c r="O224" s="180"/>
      <c r="P224" s="180"/>
      <c r="Q224" s="180"/>
      <c r="R224" s="180"/>
      <c r="S224" s="24"/>
      <c r="T224" s="182"/>
      <c r="U224" s="24"/>
      <c r="V224" s="32"/>
      <c r="W224" s="240"/>
      <c r="X224" s="64"/>
      <c r="Y224" s="75"/>
      <c r="Z224" s="64"/>
      <c r="AA224" s="64"/>
      <c r="AB224" s="25"/>
      <c r="AC224" s="23"/>
      <c r="AD224" s="23"/>
      <c r="AE224" s="23"/>
      <c r="AF224" s="335"/>
      <c r="AG224" s="336"/>
      <c r="AH224" s="334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</row>
    <row r="225" spans="1:346" s="26" customFormat="1" ht="12" hidden="1" customHeight="1" x14ac:dyDescent="0.25">
      <c r="A225" s="21"/>
      <c r="B225" s="21"/>
      <c r="C225" s="22"/>
      <c r="D225" s="353"/>
      <c r="E225" s="73"/>
      <c r="F225" s="7"/>
      <c r="G225" s="7"/>
      <c r="H225" s="7"/>
      <c r="I225" s="180"/>
      <c r="J225" s="180"/>
      <c r="K225" s="284"/>
      <c r="L225" s="193"/>
      <c r="M225" s="180"/>
      <c r="N225" s="180"/>
      <c r="O225" s="180"/>
      <c r="P225" s="180"/>
      <c r="Q225" s="180"/>
      <c r="R225" s="180"/>
      <c r="S225" s="24"/>
      <c r="T225" s="182"/>
      <c r="U225" s="24"/>
      <c r="V225" s="32"/>
      <c r="W225" s="240"/>
      <c r="X225" s="64"/>
      <c r="Y225" s="75"/>
      <c r="Z225" s="64"/>
      <c r="AA225" s="64"/>
      <c r="AB225" s="25"/>
      <c r="AC225" s="23"/>
      <c r="AD225" s="23"/>
      <c r="AE225" s="23"/>
      <c r="AF225" s="335"/>
      <c r="AG225" s="336"/>
      <c r="AH225" s="334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</row>
    <row r="226" spans="1:346" s="26" customFormat="1" ht="12" hidden="1" customHeight="1" x14ac:dyDescent="0.25">
      <c r="A226" s="21"/>
      <c r="B226" s="21"/>
      <c r="C226" s="22"/>
      <c r="D226" s="353"/>
      <c r="E226" s="73"/>
      <c r="F226" s="7"/>
      <c r="G226" s="7"/>
      <c r="H226" s="7"/>
      <c r="I226" s="180"/>
      <c r="J226" s="180"/>
      <c r="K226" s="284"/>
      <c r="L226" s="193"/>
      <c r="M226" s="180"/>
      <c r="N226" s="180"/>
      <c r="O226" s="180"/>
      <c r="P226" s="180"/>
      <c r="Q226" s="180"/>
      <c r="R226" s="180"/>
      <c r="S226" s="24"/>
      <c r="T226" s="182"/>
      <c r="U226" s="24"/>
      <c r="V226" s="32"/>
      <c r="W226" s="240"/>
      <c r="X226" s="64"/>
      <c r="Y226" s="75"/>
      <c r="Z226" s="64"/>
      <c r="AA226" s="64"/>
      <c r="AB226" s="25"/>
      <c r="AC226" s="23"/>
      <c r="AD226" s="23"/>
      <c r="AE226" s="23"/>
      <c r="AF226" s="335"/>
      <c r="AG226" s="336"/>
      <c r="AH226" s="334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</row>
    <row r="227" spans="1:346" s="26" customFormat="1" ht="12" hidden="1" customHeight="1" x14ac:dyDescent="0.25">
      <c r="A227" s="21"/>
      <c r="B227" s="21"/>
      <c r="C227" s="22"/>
      <c r="D227" s="353"/>
      <c r="E227" s="73"/>
      <c r="F227" s="7"/>
      <c r="G227" s="7"/>
      <c r="H227" s="7"/>
      <c r="I227" s="180"/>
      <c r="J227" s="180"/>
      <c r="K227" s="284"/>
      <c r="L227" s="193"/>
      <c r="M227" s="180"/>
      <c r="N227" s="180"/>
      <c r="O227" s="180"/>
      <c r="P227" s="180"/>
      <c r="Q227" s="180"/>
      <c r="R227" s="180"/>
      <c r="S227" s="24"/>
      <c r="T227" s="182"/>
      <c r="U227" s="24"/>
      <c r="V227" s="32"/>
      <c r="W227" s="240"/>
      <c r="X227" s="64"/>
      <c r="Y227" s="75"/>
      <c r="Z227" s="64"/>
      <c r="AA227" s="64"/>
      <c r="AB227" s="25"/>
      <c r="AC227" s="23"/>
      <c r="AD227" s="23"/>
      <c r="AE227" s="23"/>
      <c r="AF227" s="335"/>
      <c r="AG227" s="336"/>
      <c r="AH227" s="334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</row>
    <row r="228" spans="1:346" s="26" customFormat="1" ht="12" hidden="1" customHeight="1" x14ac:dyDescent="0.25">
      <c r="A228" s="21"/>
      <c r="B228" s="21"/>
      <c r="C228" s="22"/>
      <c r="D228" s="353"/>
      <c r="E228" s="73"/>
      <c r="F228" s="7"/>
      <c r="G228" s="7"/>
      <c r="H228" s="7"/>
      <c r="I228" s="180"/>
      <c r="J228" s="180"/>
      <c r="K228" s="284"/>
      <c r="L228" s="193"/>
      <c r="M228" s="180"/>
      <c r="N228" s="180"/>
      <c r="O228" s="180"/>
      <c r="P228" s="180"/>
      <c r="Q228" s="180"/>
      <c r="R228" s="180"/>
      <c r="S228" s="24"/>
      <c r="T228" s="182"/>
      <c r="U228" s="24"/>
      <c r="V228" s="32"/>
      <c r="W228" s="240"/>
      <c r="X228" s="64"/>
      <c r="Y228" s="75"/>
      <c r="Z228" s="64"/>
      <c r="AA228" s="64"/>
      <c r="AB228" s="25"/>
      <c r="AC228" s="23"/>
      <c r="AD228" s="23"/>
      <c r="AE228" s="23"/>
      <c r="AF228" s="335"/>
      <c r="AG228" s="336"/>
      <c r="AH228" s="334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</row>
    <row r="229" spans="1:346" s="26" customFormat="1" ht="12" hidden="1" customHeight="1" x14ac:dyDescent="0.25">
      <c r="A229" s="21"/>
      <c r="B229" s="21"/>
      <c r="C229" s="22"/>
      <c r="D229" s="353"/>
      <c r="E229" s="73"/>
      <c r="F229" s="7"/>
      <c r="G229" s="7"/>
      <c r="H229" s="7"/>
      <c r="I229" s="180"/>
      <c r="J229" s="180"/>
      <c r="K229" s="284"/>
      <c r="L229" s="193"/>
      <c r="M229" s="180"/>
      <c r="N229" s="180"/>
      <c r="O229" s="180"/>
      <c r="P229" s="180"/>
      <c r="Q229" s="180"/>
      <c r="R229" s="180"/>
      <c r="S229" s="24"/>
      <c r="T229" s="182"/>
      <c r="U229" s="24"/>
      <c r="V229" s="32"/>
      <c r="W229" s="240"/>
      <c r="X229" s="64"/>
      <c r="Y229" s="75"/>
      <c r="Z229" s="64"/>
      <c r="AA229" s="64"/>
      <c r="AB229" s="25"/>
      <c r="AC229" s="23"/>
      <c r="AD229" s="23"/>
      <c r="AE229" s="23"/>
      <c r="AF229" s="335"/>
      <c r="AG229" s="336"/>
      <c r="AH229" s="334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</row>
    <row r="230" spans="1:346" s="26" customFormat="1" ht="12" hidden="1" customHeight="1" x14ac:dyDescent="0.25">
      <c r="A230" s="21"/>
      <c r="B230" s="21"/>
      <c r="C230" s="22"/>
      <c r="D230" s="353"/>
      <c r="E230" s="73"/>
      <c r="F230" s="7"/>
      <c r="G230" s="7"/>
      <c r="H230" s="7"/>
      <c r="I230" s="180"/>
      <c r="J230" s="180"/>
      <c r="K230" s="284"/>
      <c r="L230" s="193"/>
      <c r="M230" s="180"/>
      <c r="N230" s="180"/>
      <c r="O230" s="180"/>
      <c r="P230" s="180"/>
      <c r="Q230" s="180"/>
      <c r="R230" s="180"/>
      <c r="S230" s="24"/>
      <c r="T230" s="182"/>
      <c r="U230" s="24"/>
      <c r="V230" s="32"/>
      <c r="W230" s="240"/>
      <c r="X230" s="64"/>
      <c r="Y230" s="75"/>
      <c r="Z230" s="64"/>
      <c r="AA230" s="64"/>
      <c r="AB230" s="25"/>
      <c r="AC230" s="23"/>
      <c r="AD230" s="23"/>
      <c r="AE230" s="23"/>
      <c r="AF230" s="335"/>
      <c r="AG230" s="336"/>
      <c r="AH230" s="334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</row>
    <row r="231" spans="1:346" s="26" customFormat="1" ht="12" hidden="1" customHeight="1" x14ac:dyDescent="0.25">
      <c r="A231" s="21"/>
      <c r="B231" s="21"/>
      <c r="C231" s="22"/>
      <c r="D231" s="353"/>
      <c r="E231" s="73"/>
      <c r="F231" s="7"/>
      <c r="G231" s="7"/>
      <c r="H231" s="7"/>
      <c r="I231" s="180"/>
      <c r="J231" s="180"/>
      <c r="K231" s="284"/>
      <c r="L231" s="193"/>
      <c r="M231" s="180"/>
      <c r="N231" s="180"/>
      <c r="O231" s="180"/>
      <c r="P231" s="180"/>
      <c r="Q231" s="180"/>
      <c r="R231" s="180"/>
      <c r="S231" s="24"/>
      <c r="T231" s="182"/>
      <c r="U231" s="24"/>
      <c r="V231" s="32"/>
      <c r="W231" s="240"/>
      <c r="X231" s="64"/>
      <c r="Y231" s="75"/>
      <c r="Z231" s="64"/>
      <c r="AA231" s="64"/>
      <c r="AB231" s="25"/>
      <c r="AC231" s="23"/>
      <c r="AD231" s="23"/>
      <c r="AE231" s="23"/>
      <c r="AF231" s="335"/>
      <c r="AG231" s="336"/>
      <c r="AH231" s="334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</row>
    <row r="232" spans="1:346" s="26" customFormat="1" ht="12" hidden="1" customHeight="1" x14ac:dyDescent="0.25">
      <c r="A232" s="21"/>
      <c r="B232" s="21"/>
      <c r="C232" s="22"/>
      <c r="D232" s="353"/>
      <c r="E232" s="73"/>
      <c r="F232" s="7"/>
      <c r="G232" s="7"/>
      <c r="H232" s="7"/>
      <c r="I232" s="180"/>
      <c r="J232" s="180"/>
      <c r="K232" s="284"/>
      <c r="L232" s="193"/>
      <c r="M232" s="180"/>
      <c r="N232" s="180"/>
      <c r="O232" s="180"/>
      <c r="P232" s="180"/>
      <c r="Q232" s="180"/>
      <c r="R232" s="180"/>
      <c r="S232" s="24"/>
      <c r="T232" s="182"/>
      <c r="U232" s="24"/>
      <c r="V232" s="32"/>
      <c r="W232" s="240"/>
      <c r="X232" s="64"/>
      <c r="Y232" s="75"/>
      <c r="Z232" s="64"/>
      <c r="AA232" s="64"/>
      <c r="AB232" s="25"/>
      <c r="AC232" s="23"/>
      <c r="AD232" s="23"/>
      <c r="AE232" s="23"/>
      <c r="AF232" s="335"/>
      <c r="AG232" s="336"/>
      <c r="AH232" s="334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</row>
    <row r="233" spans="1:346" s="26" customFormat="1" ht="12" hidden="1" customHeight="1" x14ac:dyDescent="0.25">
      <c r="A233" s="21"/>
      <c r="B233" s="21"/>
      <c r="C233" s="22"/>
      <c r="D233" s="353"/>
      <c r="E233" s="73"/>
      <c r="F233" s="7"/>
      <c r="G233" s="7"/>
      <c r="H233" s="7"/>
      <c r="I233" s="180"/>
      <c r="J233" s="180"/>
      <c r="K233" s="284"/>
      <c r="L233" s="193"/>
      <c r="M233" s="180"/>
      <c r="N233" s="180"/>
      <c r="O233" s="180"/>
      <c r="P233" s="180"/>
      <c r="Q233" s="180"/>
      <c r="R233" s="180"/>
      <c r="S233" s="24"/>
      <c r="T233" s="182"/>
      <c r="U233" s="24"/>
      <c r="V233" s="32"/>
      <c r="W233" s="240"/>
      <c r="X233" s="64"/>
      <c r="Y233" s="75"/>
      <c r="Z233" s="64"/>
      <c r="AA233" s="64"/>
      <c r="AB233" s="25"/>
      <c r="AC233" s="23"/>
      <c r="AD233" s="23"/>
      <c r="AE233" s="23"/>
      <c r="AF233" s="335"/>
      <c r="AG233" s="336"/>
      <c r="AH233" s="334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</row>
    <row r="234" spans="1:346" s="26" customFormat="1" ht="12" hidden="1" customHeight="1" x14ac:dyDescent="0.25">
      <c r="A234" s="21"/>
      <c r="B234" s="21"/>
      <c r="C234" s="22"/>
      <c r="D234" s="353"/>
      <c r="E234" s="73"/>
      <c r="F234" s="7"/>
      <c r="G234" s="7"/>
      <c r="H234" s="7"/>
      <c r="I234" s="180"/>
      <c r="J234" s="180"/>
      <c r="K234" s="284"/>
      <c r="L234" s="193"/>
      <c r="M234" s="180"/>
      <c r="N234" s="180"/>
      <c r="O234" s="180"/>
      <c r="P234" s="180"/>
      <c r="Q234" s="180"/>
      <c r="R234" s="180"/>
      <c r="S234" s="24"/>
      <c r="T234" s="182"/>
      <c r="U234" s="24"/>
      <c r="V234" s="32"/>
      <c r="W234" s="240"/>
      <c r="X234" s="64"/>
      <c r="Y234" s="75"/>
      <c r="Z234" s="64"/>
      <c r="AA234" s="64"/>
      <c r="AB234" s="25"/>
      <c r="AC234" s="23"/>
      <c r="AD234" s="23"/>
      <c r="AE234" s="23"/>
      <c r="AF234" s="335"/>
      <c r="AG234" s="336"/>
      <c r="AH234" s="334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</row>
    <row r="235" spans="1:346" s="26" customFormat="1" ht="12" hidden="1" customHeight="1" x14ac:dyDescent="0.25">
      <c r="A235" s="21"/>
      <c r="B235" s="21"/>
      <c r="C235" s="22"/>
      <c r="D235" s="353"/>
      <c r="E235" s="73"/>
      <c r="F235" s="7"/>
      <c r="G235" s="7"/>
      <c r="H235" s="7"/>
      <c r="I235" s="180"/>
      <c r="J235" s="180"/>
      <c r="K235" s="284"/>
      <c r="L235" s="193"/>
      <c r="M235" s="180"/>
      <c r="N235" s="180"/>
      <c r="O235" s="180"/>
      <c r="P235" s="180"/>
      <c r="Q235" s="180"/>
      <c r="R235" s="180"/>
      <c r="S235" s="24"/>
      <c r="T235" s="182"/>
      <c r="U235" s="24"/>
      <c r="V235" s="32"/>
      <c r="W235" s="240"/>
      <c r="X235" s="64"/>
      <c r="Y235" s="75"/>
      <c r="Z235" s="64"/>
      <c r="AA235" s="64"/>
      <c r="AB235" s="25"/>
      <c r="AC235" s="23"/>
      <c r="AD235" s="23"/>
      <c r="AE235" s="23"/>
      <c r="AF235" s="335"/>
      <c r="AG235" s="336"/>
      <c r="AH235" s="334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</row>
    <row r="236" spans="1:346" s="26" customFormat="1" ht="12" hidden="1" customHeight="1" x14ac:dyDescent="0.25">
      <c r="A236" s="21"/>
      <c r="B236" s="21"/>
      <c r="C236" s="22"/>
      <c r="D236" s="353"/>
      <c r="E236" s="73"/>
      <c r="F236" s="7"/>
      <c r="G236" s="7"/>
      <c r="H236" s="7"/>
      <c r="I236" s="180"/>
      <c r="J236" s="180"/>
      <c r="K236" s="284"/>
      <c r="L236" s="193"/>
      <c r="M236" s="180"/>
      <c r="N236" s="180"/>
      <c r="O236" s="180"/>
      <c r="P236" s="180"/>
      <c r="Q236" s="180"/>
      <c r="R236" s="180"/>
      <c r="S236" s="24"/>
      <c r="T236" s="182"/>
      <c r="U236" s="24"/>
      <c r="V236" s="32"/>
      <c r="W236" s="240"/>
      <c r="X236" s="64"/>
      <c r="Y236" s="75"/>
      <c r="Z236" s="64"/>
      <c r="AA236" s="64"/>
      <c r="AB236" s="25"/>
      <c r="AC236" s="23"/>
      <c r="AD236" s="23"/>
      <c r="AE236" s="23"/>
      <c r="AF236" s="335"/>
      <c r="AG236" s="336"/>
      <c r="AH236" s="334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</row>
    <row r="237" spans="1:346" s="26" customFormat="1" ht="12" hidden="1" customHeight="1" x14ac:dyDescent="0.25">
      <c r="A237" s="21"/>
      <c r="B237" s="21"/>
      <c r="C237" s="22"/>
      <c r="D237" s="353"/>
      <c r="E237" s="73"/>
      <c r="F237" s="7"/>
      <c r="G237" s="7"/>
      <c r="H237" s="7"/>
      <c r="I237" s="180"/>
      <c r="J237" s="180"/>
      <c r="K237" s="284"/>
      <c r="L237" s="193"/>
      <c r="M237" s="180"/>
      <c r="N237" s="180"/>
      <c r="O237" s="180"/>
      <c r="P237" s="180"/>
      <c r="Q237" s="180"/>
      <c r="R237" s="180"/>
      <c r="S237" s="24"/>
      <c r="T237" s="182"/>
      <c r="U237" s="24"/>
      <c r="V237" s="32"/>
      <c r="W237" s="240"/>
      <c r="X237" s="64"/>
      <c r="Y237" s="75"/>
      <c r="Z237" s="64"/>
      <c r="AA237" s="64"/>
      <c r="AB237" s="25"/>
      <c r="AC237" s="23"/>
      <c r="AD237" s="23"/>
      <c r="AE237" s="23"/>
      <c r="AF237" s="335"/>
      <c r="AG237" s="336"/>
      <c r="AH237" s="334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</row>
    <row r="238" spans="1:346" s="26" customFormat="1" ht="12" hidden="1" customHeight="1" x14ac:dyDescent="0.25">
      <c r="A238" s="21"/>
      <c r="B238" s="21"/>
      <c r="C238" s="22"/>
      <c r="D238" s="353"/>
      <c r="E238" s="73"/>
      <c r="F238" s="7"/>
      <c r="G238" s="7"/>
      <c r="H238" s="7"/>
      <c r="I238" s="180"/>
      <c r="J238" s="180"/>
      <c r="K238" s="284"/>
      <c r="L238" s="193"/>
      <c r="M238" s="180"/>
      <c r="N238" s="180"/>
      <c r="O238" s="180"/>
      <c r="P238" s="180"/>
      <c r="Q238" s="180"/>
      <c r="R238" s="180"/>
      <c r="S238" s="24"/>
      <c r="T238" s="182"/>
      <c r="U238" s="24"/>
      <c r="V238" s="32"/>
      <c r="W238" s="240"/>
      <c r="X238" s="64"/>
      <c r="Y238" s="75"/>
      <c r="Z238" s="64"/>
      <c r="AA238" s="64"/>
      <c r="AB238" s="25"/>
      <c r="AC238" s="23"/>
      <c r="AD238" s="23"/>
      <c r="AE238" s="23"/>
      <c r="AF238" s="335"/>
      <c r="AG238" s="336"/>
      <c r="AH238" s="334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</row>
    <row r="239" spans="1:346" s="26" customFormat="1" ht="12" hidden="1" customHeight="1" x14ac:dyDescent="0.25">
      <c r="A239" s="21"/>
      <c r="B239" s="21"/>
      <c r="C239" s="22"/>
      <c r="D239" s="353"/>
      <c r="E239" s="73"/>
      <c r="F239" s="7"/>
      <c r="G239" s="7"/>
      <c r="H239" s="7"/>
      <c r="I239" s="180"/>
      <c r="J239" s="180"/>
      <c r="K239" s="284"/>
      <c r="L239" s="193"/>
      <c r="M239" s="180"/>
      <c r="N239" s="180"/>
      <c r="O239" s="180"/>
      <c r="P239" s="180"/>
      <c r="Q239" s="180"/>
      <c r="R239" s="180"/>
      <c r="S239" s="24"/>
      <c r="T239" s="182"/>
      <c r="U239" s="24"/>
      <c r="V239" s="32"/>
      <c r="W239" s="240"/>
      <c r="X239" s="64"/>
      <c r="Y239" s="75"/>
      <c r="Z239" s="64"/>
      <c r="AA239" s="64"/>
      <c r="AB239" s="25"/>
      <c r="AC239" s="23"/>
      <c r="AD239" s="23"/>
      <c r="AE239" s="23"/>
      <c r="AF239" s="335"/>
      <c r="AG239" s="336"/>
      <c r="AH239" s="334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</row>
    <row r="240" spans="1:346" s="26" customFormat="1" ht="12" hidden="1" customHeight="1" x14ac:dyDescent="0.25">
      <c r="A240" s="21"/>
      <c r="B240" s="21"/>
      <c r="C240" s="22"/>
      <c r="D240" s="353"/>
      <c r="E240" s="73"/>
      <c r="F240" s="7"/>
      <c r="G240" s="7"/>
      <c r="H240" s="7"/>
      <c r="I240" s="180"/>
      <c r="J240" s="180"/>
      <c r="K240" s="284"/>
      <c r="L240" s="193"/>
      <c r="M240" s="180"/>
      <c r="N240" s="180"/>
      <c r="O240" s="180"/>
      <c r="P240" s="180"/>
      <c r="Q240" s="180"/>
      <c r="R240" s="180"/>
      <c r="S240" s="24"/>
      <c r="T240" s="182"/>
      <c r="U240" s="24"/>
      <c r="V240" s="32"/>
      <c r="W240" s="240"/>
      <c r="X240" s="64"/>
      <c r="Y240" s="75"/>
      <c r="Z240" s="64"/>
      <c r="AA240" s="64"/>
      <c r="AB240" s="25"/>
      <c r="AC240" s="23"/>
      <c r="AD240" s="23"/>
      <c r="AE240" s="23"/>
      <c r="AF240" s="335"/>
      <c r="AG240" s="336"/>
      <c r="AH240" s="334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</row>
    <row r="241" spans="1:346" s="26" customFormat="1" ht="12" hidden="1" customHeight="1" x14ac:dyDescent="0.25">
      <c r="A241" s="21"/>
      <c r="B241" s="21"/>
      <c r="C241" s="22"/>
      <c r="D241" s="353"/>
      <c r="E241" s="73"/>
      <c r="F241" s="7"/>
      <c r="G241" s="7"/>
      <c r="H241" s="7"/>
      <c r="I241" s="180"/>
      <c r="J241" s="180"/>
      <c r="K241" s="284"/>
      <c r="L241" s="193"/>
      <c r="M241" s="180"/>
      <c r="N241" s="180"/>
      <c r="O241" s="180"/>
      <c r="P241" s="180"/>
      <c r="Q241" s="180"/>
      <c r="R241" s="180"/>
      <c r="S241" s="24"/>
      <c r="T241" s="182"/>
      <c r="U241" s="24"/>
      <c r="V241" s="32"/>
      <c r="W241" s="240"/>
      <c r="X241" s="64"/>
      <c r="Y241" s="75"/>
      <c r="Z241" s="64"/>
      <c r="AA241" s="64"/>
      <c r="AB241" s="25"/>
      <c r="AC241" s="23"/>
      <c r="AD241" s="23"/>
      <c r="AE241" s="23"/>
      <c r="AF241" s="335"/>
      <c r="AG241" s="336"/>
      <c r="AH241" s="334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</row>
    <row r="242" spans="1:346" s="26" customFormat="1" ht="12" hidden="1" customHeight="1" x14ac:dyDescent="0.25">
      <c r="A242" s="21"/>
      <c r="B242" s="21"/>
      <c r="C242" s="22"/>
      <c r="D242" s="353"/>
      <c r="E242" s="73"/>
      <c r="F242" s="7"/>
      <c r="G242" s="7"/>
      <c r="H242" s="7"/>
      <c r="I242" s="180"/>
      <c r="J242" s="180"/>
      <c r="K242" s="284"/>
      <c r="L242" s="193"/>
      <c r="M242" s="180"/>
      <c r="N242" s="180"/>
      <c r="O242" s="180"/>
      <c r="P242" s="180"/>
      <c r="Q242" s="180"/>
      <c r="R242" s="180"/>
      <c r="S242" s="24"/>
      <c r="T242" s="182"/>
      <c r="U242" s="24"/>
      <c r="V242" s="32"/>
      <c r="W242" s="240"/>
      <c r="X242" s="64"/>
      <c r="Y242" s="75"/>
      <c r="Z242" s="64"/>
      <c r="AA242" s="64"/>
      <c r="AB242" s="25"/>
      <c r="AC242" s="23"/>
      <c r="AD242" s="23"/>
      <c r="AE242" s="23"/>
      <c r="AF242" s="335"/>
      <c r="AG242" s="336"/>
      <c r="AH242" s="334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</row>
    <row r="243" spans="1:346" s="26" customFormat="1" ht="12" hidden="1" customHeight="1" x14ac:dyDescent="0.25">
      <c r="A243" s="21"/>
      <c r="B243" s="21"/>
      <c r="C243" s="22"/>
      <c r="D243" s="353"/>
      <c r="E243" s="73"/>
      <c r="F243" s="7"/>
      <c r="G243" s="7"/>
      <c r="H243" s="7"/>
      <c r="I243" s="180"/>
      <c r="J243" s="180"/>
      <c r="K243" s="284"/>
      <c r="L243" s="193"/>
      <c r="M243" s="180"/>
      <c r="N243" s="180"/>
      <c r="O243" s="180"/>
      <c r="P243" s="180"/>
      <c r="Q243" s="180"/>
      <c r="R243" s="180"/>
      <c r="S243" s="24"/>
      <c r="T243" s="182"/>
      <c r="U243" s="24"/>
      <c r="V243" s="32"/>
      <c r="W243" s="240"/>
      <c r="X243" s="64"/>
      <c r="Y243" s="75"/>
      <c r="Z243" s="64"/>
      <c r="AA243" s="64"/>
      <c r="AB243" s="25"/>
      <c r="AC243" s="23"/>
      <c r="AD243" s="23"/>
      <c r="AE243" s="23"/>
      <c r="AF243" s="335"/>
      <c r="AG243" s="336"/>
      <c r="AH243" s="334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</row>
    <row r="244" spans="1:346" s="26" customFormat="1" ht="12" hidden="1" customHeight="1" x14ac:dyDescent="0.25">
      <c r="A244" s="21"/>
      <c r="B244" s="21"/>
      <c r="C244" s="22"/>
      <c r="D244" s="353"/>
      <c r="E244" s="73"/>
      <c r="F244" s="7"/>
      <c r="G244" s="7"/>
      <c r="H244" s="7"/>
      <c r="I244" s="180"/>
      <c r="J244" s="180"/>
      <c r="K244" s="284"/>
      <c r="L244" s="193"/>
      <c r="M244" s="180"/>
      <c r="N244" s="180"/>
      <c r="O244" s="180"/>
      <c r="P244" s="180"/>
      <c r="Q244" s="180"/>
      <c r="R244" s="180"/>
      <c r="S244" s="24"/>
      <c r="T244" s="182"/>
      <c r="U244" s="24"/>
      <c r="V244" s="32"/>
      <c r="W244" s="240"/>
      <c r="X244" s="64"/>
      <c r="Y244" s="75"/>
      <c r="Z244" s="64"/>
      <c r="AA244" s="64"/>
      <c r="AB244" s="25"/>
      <c r="AC244" s="23"/>
      <c r="AD244" s="23"/>
      <c r="AE244" s="23"/>
      <c r="AF244" s="335"/>
      <c r="AG244" s="336"/>
      <c r="AH244" s="334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</row>
    <row r="245" spans="1:346" s="26" customFormat="1" ht="12" hidden="1" customHeight="1" x14ac:dyDescent="0.25">
      <c r="A245" s="21"/>
      <c r="B245" s="21"/>
      <c r="C245" s="22"/>
      <c r="D245" s="353"/>
      <c r="E245" s="73"/>
      <c r="F245" s="7"/>
      <c r="G245" s="7"/>
      <c r="H245" s="7"/>
      <c r="I245" s="180"/>
      <c r="J245" s="180"/>
      <c r="K245" s="284"/>
      <c r="L245" s="193"/>
      <c r="M245" s="180"/>
      <c r="N245" s="180"/>
      <c r="O245" s="180"/>
      <c r="P245" s="180"/>
      <c r="Q245" s="180"/>
      <c r="R245" s="180"/>
      <c r="S245" s="24"/>
      <c r="T245" s="182"/>
      <c r="U245" s="24"/>
      <c r="V245" s="32"/>
      <c r="W245" s="240"/>
      <c r="X245" s="64"/>
      <c r="Y245" s="75"/>
      <c r="Z245" s="64"/>
      <c r="AA245" s="64"/>
      <c r="AB245" s="25"/>
      <c r="AC245" s="23"/>
      <c r="AD245" s="23"/>
      <c r="AE245" s="23"/>
      <c r="AF245" s="335"/>
      <c r="AG245" s="336"/>
      <c r="AH245" s="334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</row>
    <row r="246" spans="1:346" s="26" customFormat="1" ht="12" hidden="1" customHeight="1" x14ac:dyDescent="0.25">
      <c r="A246" s="21"/>
      <c r="B246" s="21"/>
      <c r="C246" s="22"/>
      <c r="D246" s="353"/>
      <c r="E246" s="73"/>
      <c r="F246" s="7"/>
      <c r="G246" s="7"/>
      <c r="H246" s="7"/>
      <c r="I246" s="180"/>
      <c r="J246" s="180"/>
      <c r="K246" s="284"/>
      <c r="L246" s="193"/>
      <c r="M246" s="180"/>
      <c r="N246" s="180"/>
      <c r="O246" s="180"/>
      <c r="P246" s="180"/>
      <c r="Q246" s="180"/>
      <c r="R246" s="180"/>
      <c r="S246" s="24"/>
      <c r="T246" s="182"/>
      <c r="U246" s="24"/>
      <c r="V246" s="32"/>
      <c r="W246" s="240"/>
      <c r="X246" s="64"/>
      <c r="Y246" s="75"/>
      <c r="Z246" s="64"/>
      <c r="AA246" s="64"/>
      <c r="AB246" s="25"/>
      <c r="AC246" s="23"/>
      <c r="AD246" s="23"/>
      <c r="AE246" s="23"/>
      <c r="AF246" s="335"/>
      <c r="AG246" s="336"/>
      <c r="AH246" s="334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</row>
    <row r="247" spans="1:346" s="26" customFormat="1" ht="12" hidden="1" customHeight="1" x14ac:dyDescent="0.25">
      <c r="A247" s="21"/>
      <c r="B247" s="21"/>
      <c r="C247" s="22"/>
      <c r="D247" s="353"/>
      <c r="E247" s="73"/>
      <c r="F247" s="7"/>
      <c r="G247" s="7"/>
      <c r="H247" s="7"/>
      <c r="I247" s="180"/>
      <c r="J247" s="180"/>
      <c r="K247" s="284"/>
      <c r="L247" s="193"/>
      <c r="M247" s="180"/>
      <c r="N247" s="180"/>
      <c r="O247" s="180"/>
      <c r="P247" s="180"/>
      <c r="Q247" s="180"/>
      <c r="R247" s="180"/>
      <c r="S247" s="24"/>
      <c r="T247" s="182"/>
      <c r="U247" s="24"/>
      <c r="V247" s="32"/>
      <c r="W247" s="240"/>
      <c r="X247" s="64"/>
      <c r="Y247" s="75"/>
      <c r="Z247" s="64"/>
      <c r="AA247" s="64"/>
      <c r="AB247" s="25"/>
      <c r="AC247" s="23"/>
      <c r="AD247" s="23"/>
      <c r="AE247" s="23"/>
      <c r="AF247" s="335"/>
      <c r="AG247" s="336"/>
      <c r="AH247" s="334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</row>
    <row r="248" spans="1:346" s="26" customFormat="1" ht="12" hidden="1" customHeight="1" x14ac:dyDescent="0.25">
      <c r="A248" s="21"/>
      <c r="B248" s="21"/>
      <c r="C248" s="22"/>
      <c r="D248" s="353"/>
      <c r="E248" s="73"/>
      <c r="F248" s="7"/>
      <c r="G248" s="7"/>
      <c r="H248" s="7"/>
      <c r="I248" s="180"/>
      <c r="J248" s="180"/>
      <c r="K248" s="284"/>
      <c r="L248" s="193"/>
      <c r="M248" s="180"/>
      <c r="N248" s="180"/>
      <c r="O248" s="180"/>
      <c r="P248" s="180"/>
      <c r="Q248" s="180"/>
      <c r="R248" s="180"/>
      <c r="S248" s="24"/>
      <c r="T248" s="182"/>
      <c r="U248" s="24"/>
      <c r="V248" s="32"/>
      <c r="W248" s="240"/>
      <c r="X248" s="64"/>
      <c r="Y248" s="75"/>
      <c r="Z248" s="64"/>
      <c r="AA248" s="64"/>
      <c r="AB248" s="25"/>
      <c r="AC248" s="23"/>
      <c r="AD248" s="23"/>
      <c r="AE248" s="23"/>
      <c r="AF248" s="335"/>
      <c r="AG248" s="336"/>
      <c r="AH248" s="334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</row>
    <row r="249" spans="1:346" s="26" customFormat="1" ht="12" hidden="1" customHeight="1" x14ac:dyDescent="0.25">
      <c r="A249" s="21"/>
      <c r="B249" s="21"/>
      <c r="C249" s="22"/>
      <c r="D249" s="353"/>
      <c r="E249" s="73"/>
      <c r="F249" s="7"/>
      <c r="G249" s="7"/>
      <c r="H249" s="7"/>
      <c r="I249" s="180"/>
      <c r="J249" s="180"/>
      <c r="K249" s="284"/>
      <c r="L249" s="193"/>
      <c r="M249" s="180"/>
      <c r="N249" s="180"/>
      <c r="O249" s="180"/>
      <c r="P249" s="180"/>
      <c r="Q249" s="180"/>
      <c r="R249" s="180"/>
      <c r="S249" s="24"/>
      <c r="T249" s="182"/>
      <c r="U249" s="24"/>
      <c r="V249" s="32"/>
      <c r="W249" s="240"/>
      <c r="X249" s="64"/>
      <c r="Y249" s="75"/>
      <c r="Z249" s="64"/>
      <c r="AA249" s="64"/>
      <c r="AB249" s="25"/>
      <c r="AC249" s="23"/>
      <c r="AD249" s="23"/>
      <c r="AE249" s="23"/>
      <c r="AF249" s="335"/>
      <c r="AG249" s="336"/>
      <c r="AH249" s="334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</row>
    <row r="250" spans="1:346" s="26" customFormat="1" ht="12" hidden="1" customHeight="1" x14ac:dyDescent="0.25">
      <c r="A250" s="21"/>
      <c r="B250" s="21"/>
      <c r="C250" s="22"/>
      <c r="D250" s="353"/>
      <c r="E250" s="73"/>
      <c r="F250" s="7"/>
      <c r="G250" s="7"/>
      <c r="H250" s="7"/>
      <c r="I250" s="180"/>
      <c r="J250" s="180"/>
      <c r="K250" s="284"/>
      <c r="L250" s="193"/>
      <c r="M250" s="180"/>
      <c r="N250" s="180"/>
      <c r="O250" s="180"/>
      <c r="P250" s="180"/>
      <c r="Q250" s="180"/>
      <c r="R250" s="180"/>
      <c r="S250" s="24"/>
      <c r="T250" s="182"/>
      <c r="U250" s="24"/>
      <c r="V250" s="32"/>
      <c r="W250" s="240"/>
      <c r="X250" s="64"/>
      <c r="Y250" s="75"/>
      <c r="Z250" s="64"/>
      <c r="AA250" s="64"/>
      <c r="AB250" s="25"/>
      <c r="AC250" s="23"/>
      <c r="AD250" s="23"/>
      <c r="AE250" s="23"/>
      <c r="AF250" s="335"/>
      <c r="AG250" s="336"/>
      <c r="AH250" s="334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</row>
    <row r="251" spans="1:346" s="26" customFormat="1" ht="12" hidden="1" customHeight="1" x14ac:dyDescent="0.25">
      <c r="A251" s="21"/>
      <c r="B251" s="21"/>
      <c r="C251" s="22"/>
      <c r="D251" s="353"/>
      <c r="E251" s="73"/>
      <c r="F251" s="7"/>
      <c r="G251" s="7"/>
      <c r="H251" s="7"/>
      <c r="I251" s="180"/>
      <c r="J251" s="180"/>
      <c r="K251" s="284"/>
      <c r="L251" s="193"/>
      <c r="M251" s="180"/>
      <c r="N251" s="180"/>
      <c r="O251" s="180"/>
      <c r="P251" s="180"/>
      <c r="Q251" s="180"/>
      <c r="R251" s="180"/>
      <c r="S251" s="24"/>
      <c r="T251" s="182"/>
      <c r="U251" s="24"/>
      <c r="V251" s="32"/>
      <c r="W251" s="240"/>
      <c r="X251" s="64"/>
      <c r="Y251" s="75"/>
      <c r="Z251" s="64"/>
      <c r="AA251" s="64"/>
      <c r="AB251" s="25"/>
      <c r="AC251" s="23"/>
      <c r="AD251" s="23"/>
      <c r="AE251" s="23"/>
      <c r="AF251" s="335"/>
      <c r="AG251" s="336"/>
      <c r="AH251" s="334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</row>
    <row r="252" spans="1:346" s="26" customFormat="1" ht="12" hidden="1" customHeight="1" x14ac:dyDescent="0.25">
      <c r="A252" s="21"/>
      <c r="B252" s="21"/>
      <c r="C252" s="22"/>
      <c r="D252" s="353"/>
      <c r="E252" s="73"/>
      <c r="F252" s="7"/>
      <c r="G252" s="7"/>
      <c r="H252" s="7"/>
      <c r="I252" s="180"/>
      <c r="J252" s="180"/>
      <c r="K252" s="284"/>
      <c r="L252" s="193"/>
      <c r="M252" s="180"/>
      <c r="N252" s="180"/>
      <c r="O252" s="180"/>
      <c r="P252" s="180"/>
      <c r="Q252" s="180"/>
      <c r="R252" s="180"/>
      <c r="S252" s="24"/>
      <c r="T252" s="182"/>
      <c r="U252" s="24"/>
      <c r="V252" s="32"/>
      <c r="W252" s="240"/>
      <c r="X252" s="64"/>
      <c r="Y252" s="75"/>
      <c r="Z252" s="64"/>
      <c r="AA252" s="64"/>
      <c r="AB252" s="25"/>
      <c r="AC252" s="23"/>
      <c r="AD252" s="23"/>
      <c r="AE252" s="23"/>
      <c r="AF252" s="335"/>
      <c r="AG252" s="336"/>
      <c r="AH252" s="334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</row>
    <row r="253" spans="1:346" s="26" customFormat="1" ht="12" hidden="1" customHeight="1" x14ac:dyDescent="0.25">
      <c r="A253" s="21"/>
      <c r="B253" s="21"/>
      <c r="C253" s="22"/>
      <c r="D253" s="353"/>
      <c r="E253" s="73"/>
      <c r="F253" s="7"/>
      <c r="G253" s="7"/>
      <c r="H253" s="7"/>
      <c r="I253" s="180"/>
      <c r="J253" s="180"/>
      <c r="K253" s="284"/>
      <c r="L253" s="193"/>
      <c r="M253" s="180"/>
      <c r="N253" s="180"/>
      <c r="O253" s="180"/>
      <c r="P253" s="180"/>
      <c r="Q253" s="180"/>
      <c r="R253" s="180"/>
      <c r="S253" s="24"/>
      <c r="T253" s="182"/>
      <c r="U253" s="24"/>
      <c r="V253" s="32"/>
      <c r="W253" s="240"/>
      <c r="X253" s="64"/>
      <c r="Y253" s="75"/>
      <c r="Z253" s="64"/>
      <c r="AA253" s="64"/>
      <c r="AB253" s="25"/>
      <c r="AC253" s="23"/>
      <c r="AD253" s="23"/>
      <c r="AE253" s="23"/>
      <c r="AF253" s="335"/>
      <c r="AG253" s="336"/>
      <c r="AH253" s="334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</row>
    <row r="254" spans="1:346" s="26" customFormat="1" ht="12" hidden="1" customHeight="1" x14ac:dyDescent="0.25">
      <c r="A254" s="21"/>
      <c r="B254" s="21"/>
      <c r="C254" s="22"/>
      <c r="D254" s="353"/>
      <c r="E254" s="73"/>
      <c r="F254" s="7"/>
      <c r="G254" s="7"/>
      <c r="H254" s="7"/>
      <c r="I254" s="180"/>
      <c r="J254" s="180"/>
      <c r="K254" s="284"/>
      <c r="L254" s="193"/>
      <c r="M254" s="180"/>
      <c r="N254" s="180"/>
      <c r="O254" s="180"/>
      <c r="P254" s="180"/>
      <c r="Q254" s="180"/>
      <c r="R254" s="180"/>
      <c r="S254" s="24"/>
      <c r="T254" s="182"/>
      <c r="U254" s="24"/>
      <c r="V254" s="32"/>
      <c r="W254" s="240"/>
      <c r="X254" s="64"/>
      <c r="Y254" s="75"/>
      <c r="Z254" s="64"/>
      <c r="AA254" s="64"/>
      <c r="AB254" s="25"/>
      <c r="AC254" s="23"/>
      <c r="AD254" s="23"/>
      <c r="AE254" s="23"/>
      <c r="AF254" s="335"/>
      <c r="AG254" s="336"/>
      <c r="AH254" s="334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</row>
    <row r="255" spans="1:346" s="26" customFormat="1" ht="12" hidden="1" customHeight="1" x14ac:dyDescent="0.25">
      <c r="A255" s="21"/>
      <c r="B255" s="21"/>
      <c r="C255" s="22"/>
      <c r="D255" s="353"/>
      <c r="E255" s="73"/>
      <c r="F255" s="7"/>
      <c r="G255" s="7"/>
      <c r="H255" s="7"/>
      <c r="I255" s="180"/>
      <c r="J255" s="180"/>
      <c r="K255" s="284"/>
      <c r="L255" s="193"/>
      <c r="M255" s="180"/>
      <c r="N255" s="180"/>
      <c r="O255" s="180"/>
      <c r="P255" s="180"/>
      <c r="Q255" s="180"/>
      <c r="R255" s="180"/>
      <c r="S255" s="24"/>
      <c r="T255" s="182"/>
      <c r="U255" s="24"/>
      <c r="V255" s="32"/>
      <c r="W255" s="240"/>
      <c r="X255" s="64"/>
      <c r="Y255" s="75"/>
      <c r="Z255" s="64"/>
      <c r="AA255" s="64"/>
      <c r="AB255" s="25"/>
      <c r="AC255" s="23"/>
      <c r="AD255" s="23"/>
      <c r="AE255" s="23"/>
      <c r="AF255" s="335"/>
      <c r="AG255" s="336"/>
      <c r="AH255" s="334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</row>
    <row r="256" spans="1:346" s="26" customFormat="1" ht="12" hidden="1" customHeight="1" x14ac:dyDescent="0.25">
      <c r="A256" s="21"/>
      <c r="B256" s="21"/>
      <c r="C256" s="22"/>
      <c r="D256" s="353"/>
      <c r="E256" s="73"/>
      <c r="F256" s="7"/>
      <c r="G256" s="7"/>
      <c r="H256" s="7"/>
      <c r="I256" s="180"/>
      <c r="J256" s="180"/>
      <c r="K256" s="284"/>
      <c r="L256" s="193"/>
      <c r="M256" s="180"/>
      <c r="N256" s="180"/>
      <c r="O256" s="180"/>
      <c r="P256" s="180"/>
      <c r="Q256" s="180"/>
      <c r="R256" s="180"/>
      <c r="S256" s="24"/>
      <c r="T256" s="182"/>
      <c r="U256" s="24"/>
      <c r="V256" s="32"/>
      <c r="W256" s="240"/>
      <c r="X256" s="64"/>
      <c r="Y256" s="75"/>
      <c r="Z256" s="64"/>
      <c r="AA256" s="64"/>
      <c r="AB256" s="25"/>
      <c r="AC256" s="23"/>
      <c r="AD256" s="23"/>
      <c r="AE256" s="23"/>
      <c r="AF256" s="335"/>
      <c r="AG256" s="336"/>
      <c r="AH256" s="334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</row>
    <row r="257" spans="1:346" s="26" customFormat="1" ht="12" hidden="1" customHeight="1" x14ac:dyDescent="0.25">
      <c r="A257" s="21"/>
      <c r="B257" s="21"/>
      <c r="C257" s="22"/>
      <c r="D257" s="353"/>
      <c r="E257" s="73"/>
      <c r="F257" s="7"/>
      <c r="G257" s="7"/>
      <c r="H257" s="7"/>
      <c r="I257" s="180"/>
      <c r="J257" s="180"/>
      <c r="K257" s="284"/>
      <c r="L257" s="193"/>
      <c r="M257" s="180"/>
      <c r="N257" s="180"/>
      <c r="O257" s="180"/>
      <c r="P257" s="180"/>
      <c r="Q257" s="180"/>
      <c r="R257" s="180"/>
      <c r="S257" s="24"/>
      <c r="T257" s="182"/>
      <c r="U257" s="24"/>
      <c r="V257" s="32"/>
      <c r="W257" s="240"/>
      <c r="X257" s="64"/>
      <c r="Y257" s="75"/>
      <c r="Z257" s="64"/>
      <c r="AA257" s="64"/>
      <c r="AB257" s="25"/>
      <c r="AC257" s="23"/>
      <c r="AD257" s="23"/>
      <c r="AE257" s="23"/>
      <c r="AF257" s="335"/>
      <c r="AG257" s="336"/>
      <c r="AH257" s="334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</row>
    <row r="258" spans="1:346" s="26" customFormat="1" ht="12" hidden="1" customHeight="1" x14ac:dyDescent="0.25">
      <c r="A258" s="21"/>
      <c r="B258" s="21"/>
      <c r="C258" s="22"/>
      <c r="D258" s="353"/>
      <c r="E258" s="73"/>
      <c r="F258" s="7"/>
      <c r="G258" s="7"/>
      <c r="H258" s="7"/>
      <c r="I258" s="180"/>
      <c r="J258" s="180"/>
      <c r="K258" s="284"/>
      <c r="L258" s="193"/>
      <c r="M258" s="180"/>
      <c r="N258" s="180"/>
      <c r="O258" s="180"/>
      <c r="P258" s="180"/>
      <c r="Q258" s="180"/>
      <c r="R258" s="180"/>
      <c r="S258" s="24"/>
      <c r="T258" s="182"/>
      <c r="U258" s="24"/>
      <c r="V258" s="32"/>
      <c r="W258" s="240"/>
      <c r="X258" s="64"/>
      <c r="Y258" s="75"/>
      <c r="Z258" s="64"/>
      <c r="AA258" s="64"/>
      <c r="AB258" s="25"/>
      <c r="AC258" s="23"/>
      <c r="AD258" s="23"/>
      <c r="AE258" s="23"/>
      <c r="AF258" s="335"/>
      <c r="AG258" s="336"/>
      <c r="AH258" s="334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</row>
    <row r="259" spans="1:346" s="26" customFormat="1" ht="12" hidden="1" customHeight="1" x14ac:dyDescent="0.25">
      <c r="A259" s="21"/>
      <c r="B259" s="21"/>
      <c r="C259" s="22"/>
      <c r="D259" s="353"/>
      <c r="E259" s="73"/>
      <c r="F259" s="7"/>
      <c r="G259" s="7"/>
      <c r="H259" s="7"/>
      <c r="I259" s="180"/>
      <c r="J259" s="180"/>
      <c r="K259" s="284"/>
      <c r="L259" s="193"/>
      <c r="M259" s="180"/>
      <c r="N259" s="180"/>
      <c r="O259" s="180"/>
      <c r="P259" s="180"/>
      <c r="Q259" s="180"/>
      <c r="R259" s="180"/>
      <c r="S259" s="24"/>
      <c r="T259" s="182"/>
      <c r="U259" s="24"/>
      <c r="V259" s="32"/>
      <c r="W259" s="240"/>
      <c r="X259" s="64"/>
      <c r="Y259" s="75"/>
      <c r="Z259" s="64"/>
      <c r="AA259" s="64"/>
      <c r="AB259" s="25"/>
      <c r="AC259" s="23"/>
      <c r="AD259" s="23"/>
      <c r="AE259" s="23"/>
      <c r="AF259" s="335"/>
      <c r="AG259" s="336"/>
      <c r="AH259" s="334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</row>
    <row r="260" spans="1:346" s="26" customFormat="1" ht="12" hidden="1" customHeight="1" x14ac:dyDescent="0.25">
      <c r="A260" s="21"/>
      <c r="B260" s="21"/>
      <c r="C260" s="22"/>
      <c r="D260" s="353"/>
      <c r="E260" s="73"/>
      <c r="F260" s="7"/>
      <c r="G260" s="7"/>
      <c r="H260" s="7"/>
      <c r="I260" s="180"/>
      <c r="J260" s="180"/>
      <c r="K260" s="284"/>
      <c r="L260" s="193"/>
      <c r="M260" s="180"/>
      <c r="N260" s="180"/>
      <c r="O260" s="180"/>
      <c r="P260" s="180"/>
      <c r="Q260" s="180"/>
      <c r="R260" s="180"/>
      <c r="S260" s="24"/>
      <c r="T260" s="182"/>
      <c r="U260" s="24"/>
      <c r="V260" s="32"/>
      <c r="W260" s="240"/>
      <c r="X260" s="64"/>
      <c r="Y260" s="75"/>
      <c r="Z260" s="64"/>
      <c r="AA260" s="64"/>
      <c r="AB260" s="25"/>
      <c r="AC260" s="23"/>
      <c r="AD260" s="23"/>
      <c r="AE260" s="23"/>
      <c r="AF260" s="335"/>
      <c r="AG260" s="336"/>
      <c r="AH260" s="334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</row>
    <row r="261" spans="1:346" s="26" customFormat="1" ht="12" hidden="1" customHeight="1" x14ac:dyDescent="0.25">
      <c r="A261" s="21"/>
      <c r="B261" s="21"/>
      <c r="C261" s="22"/>
      <c r="D261" s="353"/>
      <c r="E261" s="73"/>
      <c r="F261" s="7"/>
      <c r="G261" s="7"/>
      <c r="H261" s="7"/>
      <c r="I261" s="180"/>
      <c r="J261" s="180"/>
      <c r="K261" s="284"/>
      <c r="L261" s="193"/>
      <c r="M261" s="180"/>
      <c r="N261" s="180"/>
      <c r="O261" s="180"/>
      <c r="P261" s="180"/>
      <c r="Q261" s="180"/>
      <c r="R261" s="180"/>
      <c r="S261" s="24"/>
      <c r="T261" s="182"/>
      <c r="U261" s="24"/>
      <c r="V261" s="32"/>
      <c r="W261" s="240"/>
      <c r="X261" s="64"/>
      <c r="Y261" s="75"/>
      <c r="Z261" s="64"/>
      <c r="AA261" s="64"/>
      <c r="AB261" s="25"/>
      <c r="AC261" s="23"/>
      <c r="AD261" s="23"/>
      <c r="AE261" s="23"/>
      <c r="AF261" s="335"/>
      <c r="AG261" s="336"/>
      <c r="AH261" s="334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</row>
    <row r="262" spans="1:346" s="26" customFormat="1" ht="12" hidden="1" customHeight="1" x14ac:dyDescent="0.25">
      <c r="A262" s="21"/>
      <c r="B262" s="21"/>
      <c r="C262" s="22"/>
      <c r="D262" s="353"/>
      <c r="E262" s="73"/>
      <c r="F262" s="7"/>
      <c r="G262" s="7"/>
      <c r="H262" s="7"/>
      <c r="I262" s="180"/>
      <c r="J262" s="180"/>
      <c r="K262" s="284"/>
      <c r="L262" s="193"/>
      <c r="M262" s="180"/>
      <c r="N262" s="180"/>
      <c r="O262" s="180"/>
      <c r="P262" s="180"/>
      <c r="Q262" s="180"/>
      <c r="R262" s="180"/>
      <c r="S262" s="24"/>
      <c r="T262" s="182"/>
      <c r="U262" s="24"/>
      <c r="V262" s="32"/>
      <c r="W262" s="240"/>
      <c r="X262" s="64"/>
      <c r="Y262" s="75"/>
      <c r="Z262" s="64"/>
      <c r="AA262" s="64"/>
      <c r="AB262" s="25"/>
      <c r="AC262" s="23"/>
      <c r="AD262" s="23"/>
      <c r="AE262" s="23"/>
      <c r="AF262" s="335"/>
      <c r="AG262" s="336"/>
      <c r="AH262" s="334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</row>
    <row r="263" spans="1:346" s="26" customFormat="1" ht="12" hidden="1" customHeight="1" x14ac:dyDescent="0.25">
      <c r="A263" s="21"/>
      <c r="B263" s="21"/>
      <c r="C263" s="22"/>
      <c r="D263" s="353"/>
      <c r="E263" s="73"/>
      <c r="F263" s="7"/>
      <c r="G263" s="7"/>
      <c r="H263" s="7"/>
      <c r="I263" s="180"/>
      <c r="J263" s="180"/>
      <c r="K263" s="284"/>
      <c r="L263" s="193"/>
      <c r="M263" s="180"/>
      <c r="N263" s="180"/>
      <c r="O263" s="180"/>
      <c r="P263" s="180"/>
      <c r="Q263" s="180"/>
      <c r="R263" s="180"/>
      <c r="S263" s="24"/>
      <c r="T263" s="182"/>
      <c r="U263" s="24"/>
      <c r="V263" s="32"/>
      <c r="W263" s="240"/>
      <c r="X263" s="64"/>
      <c r="Y263" s="75"/>
      <c r="Z263" s="64"/>
      <c r="AA263" s="64"/>
      <c r="AB263" s="25"/>
      <c r="AC263" s="23"/>
      <c r="AD263" s="23"/>
      <c r="AE263" s="23"/>
      <c r="AF263" s="335"/>
      <c r="AG263" s="336"/>
      <c r="AH263" s="334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</row>
    <row r="264" spans="1:346" s="26" customFormat="1" ht="12" hidden="1" customHeight="1" x14ac:dyDescent="0.25">
      <c r="A264" s="21"/>
      <c r="B264" s="21"/>
      <c r="C264" s="22"/>
      <c r="D264" s="353"/>
      <c r="E264" s="73"/>
      <c r="F264" s="7"/>
      <c r="G264" s="7"/>
      <c r="H264" s="7"/>
      <c r="I264" s="180"/>
      <c r="J264" s="180"/>
      <c r="K264" s="284"/>
      <c r="L264" s="193"/>
      <c r="M264" s="180"/>
      <c r="N264" s="180"/>
      <c r="O264" s="180"/>
      <c r="P264" s="180"/>
      <c r="Q264" s="180"/>
      <c r="R264" s="180"/>
      <c r="S264" s="24"/>
      <c r="T264" s="182"/>
      <c r="U264" s="24"/>
      <c r="V264" s="32"/>
      <c r="W264" s="240"/>
      <c r="X264" s="64"/>
      <c r="Y264" s="75"/>
      <c r="Z264" s="64"/>
      <c r="AA264" s="64"/>
      <c r="AB264" s="25"/>
      <c r="AC264" s="23"/>
      <c r="AD264" s="23"/>
      <c r="AE264" s="23"/>
      <c r="AF264" s="335"/>
      <c r="AG264" s="336"/>
      <c r="AH264" s="334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</row>
    <row r="265" spans="1:346" s="26" customFormat="1" ht="12" hidden="1" customHeight="1" x14ac:dyDescent="0.25">
      <c r="A265" s="21"/>
      <c r="B265" s="21"/>
      <c r="C265" s="22"/>
      <c r="D265" s="353"/>
      <c r="E265" s="73"/>
      <c r="F265" s="7"/>
      <c r="G265" s="7"/>
      <c r="H265" s="7"/>
      <c r="I265" s="180"/>
      <c r="J265" s="180"/>
      <c r="K265" s="284"/>
      <c r="L265" s="193"/>
      <c r="M265" s="180"/>
      <c r="N265" s="180"/>
      <c r="O265" s="180"/>
      <c r="P265" s="180"/>
      <c r="Q265" s="180"/>
      <c r="R265" s="180"/>
      <c r="S265" s="24"/>
      <c r="T265" s="182"/>
      <c r="U265" s="24"/>
      <c r="V265" s="32"/>
      <c r="W265" s="240"/>
      <c r="X265" s="64"/>
      <c r="Y265" s="75"/>
      <c r="Z265" s="64"/>
      <c r="AA265" s="64"/>
      <c r="AB265" s="25"/>
      <c r="AC265" s="23"/>
      <c r="AD265" s="23"/>
      <c r="AE265" s="23"/>
      <c r="AF265" s="335"/>
      <c r="AG265" s="336"/>
      <c r="AH265" s="334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</row>
    <row r="266" spans="1:346" s="26" customFormat="1" ht="12" hidden="1" customHeight="1" x14ac:dyDescent="0.25">
      <c r="A266" s="21"/>
      <c r="B266" s="21"/>
      <c r="C266" s="22"/>
      <c r="D266" s="353"/>
      <c r="E266" s="73"/>
      <c r="F266" s="7"/>
      <c r="G266" s="7"/>
      <c r="H266" s="7"/>
      <c r="I266" s="180"/>
      <c r="J266" s="180"/>
      <c r="K266" s="284"/>
      <c r="L266" s="193"/>
      <c r="M266" s="180"/>
      <c r="N266" s="180"/>
      <c r="O266" s="180"/>
      <c r="P266" s="180"/>
      <c r="Q266" s="180"/>
      <c r="R266" s="180"/>
      <c r="S266" s="24"/>
      <c r="T266" s="182"/>
      <c r="U266" s="24"/>
      <c r="V266" s="32"/>
      <c r="W266" s="240"/>
      <c r="X266" s="64"/>
      <c r="Y266" s="75"/>
      <c r="Z266" s="64"/>
      <c r="AA266" s="64"/>
      <c r="AB266" s="25"/>
      <c r="AC266" s="23"/>
      <c r="AD266" s="23"/>
      <c r="AE266" s="23"/>
      <c r="AF266" s="335"/>
      <c r="AG266" s="336"/>
      <c r="AH266" s="334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</row>
    <row r="267" spans="1:346" s="26" customFormat="1" ht="12" hidden="1" customHeight="1" x14ac:dyDescent="0.25">
      <c r="A267" s="21"/>
      <c r="B267" s="21"/>
      <c r="C267" s="22"/>
      <c r="D267" s="353"/>
      <c r="E267" s="73"/>
      <c r="F267" s="7"/>
      <c r="G267" s="7"/>
      <c r="H267" s="7"/>
      <c r="I267" s="180"/>
      <c r="J267" s="180"/>
      <c r="K267" s="284"/>
      <c r="L267" s="193"/>
      <c r="M267" s="180"/>
      <c r="N267" s="180"/>
      <c r="O267" s="180"/>
      <c r="P267" s="180"/>
      <c r="Q267" s="180"/>
      <c r="R267" s="180"/>
      <c r="S267" s="24"/>
      <c r="T267" s="182"/>
      <c r="U267" s="24"/>
      <c r="V267" s="32"/>
      <c r="W267" s="240"/>
      <c r="X267" s="64"/>
      <c r="Y267" s="75"/>
      <c r="Z267" s="64"/>
      <c r="AA267" s="64"/>
      <c r="AB267" s="25"/>
      <c r="AC267" s="23"/>
      <c r="AD267" s="23"/>
      <c r="AE267" s="23"/>
      <c r="AF267" s="335"/>
      <c r="AG267" s="336"/>
      <c r="AH267" s="334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</row>
    <row r="268" spans="1:346" s="26" customFormat="1" ht="12" hidden="1" customHeight="1" x14ac:dyDescent="0.25">
      <c r="A268" s="21"/>
      <c r="B268" s="21"/>
      <c r="C268" s="22"/>
      <c r="D268" s="353"/>
      <c r="E268" s="73"/>
      <c r="F268" s="7"/>
      <c r="G268" s="7"/>
      <c r="H268" s="7"/>
      <c r="I268" s="180"/>
      <c r="J268" s="180"/>
      <c r="K268" s="284"/>
      <c r="L268" s="193"/>
      <c r="M268" s="180"/>
      <c r="N268" s="180"/>
      <c r="O268" s="180"/>
      <c r="P268" s="180"/>
      <c r="Q268" s="180"/>
      <c r="R268" s="180"/>
      <c r="S268" s="24"/>
      <c r="T268" s="182"/>
      <c r="U268" s="24"/>
      <c r="V268" s="32"/>
      <c r="W268" s="240"/>
      <c r="X268" s="64"/>
      <c r="Y268" s="75"/>
      <c r="Z268" s="64"/>
      <c r="AA268" s="64"/>
      <c r="AB268" s="25"/>
      <c r="AC268" s="23"/>
      <c r="AD268" s="23"/>
      <c r="AE268" s="23"/>
      <c r="AF268" s="335"/>
      <c r="AG268" s="336"/>
      <c r="AH268" s="334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</row>
    <row r="269" spans="1:346" s="26" customFormat="1" ht="12" hidden="1" customHeight="1" x14ac:dyDescent="0.25">
      <c r="A269" s="21"/>
      <c r="B269" s="21"/>
      <c r="C269" s="22"/>
      <c r="D269" s="353"/>
      <c r="E269" s="73"/>
      <c r="F269" s="7"/>
      <c r="G269" s="7"/>
      <c r="H269" s="7"/>
      <c r="I269" s="180"/>
      <c r="J269" s="180"/>
      <c r="K269" s="284"/>
      <c r="L269" s="193"/>
      <c r="M269" s="180"/>
      <c r="N269" s="180"/>
      <c r="O269" s="180"/>
      <c r="P269" s="180"/>
      <c r="Q269" s="180"/>
      <c r="R269" s="180"/>
      <c r="S269" s="24"/>
      <c r="T269" s="182"/>
      <c r="U269" s="24"/>
      <c r="V269" s="32"/>
      <c r="W269" s="240"/>
      <c r="X269" s="64"/>
      <c r="Y269" s="75"/>
      <c r="Z269" s="64"/>
      <c r="AA269" s="64"/>
      <c r="AB269" s="25"/>
      <c r="AC269" s="23"/>
      <c r="AD269" s="23"/>
      <c r="AE269" s="23"/>
      <c r="AF269" s="335"/>
      <c r="AG269" s="336"/>
      <c r="AH269" s="334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</row>
    <row r="270" spans="1:346" s="26" customFormat="1" ht="12" hidden="1" customHeight="1" x14ac:dyDescent="0.25">
      <c r="A270" s="21"/>
      <c r="B270" s="21"/>
      <c r="C270" s="22"/>
      <c r="D270" s="353"/>
      <c r="E270" s="73"/>
      <c r="F270" s="7"/>
      <c r="G270" s="7"/>
      <c r="H270" s="7"/>
      <c r="I270" s="180"/>
      <c r="J270" s="180"/>
      <c r="K270" s="284"/>
      <c r="L270" s="193"/>
      <c r="M270" s="180"/>
      <c r="N270" s="180"/>
      <c r="O270" s="180"/>
      <c r="P270" s="180"/>
      <c r="Q270" s="180"/>
      <c r="R270" s="180"/>
      <c r="S270" s="24"/>
      <c r="T270" s="182"/>
      <c r="U270" s="24"/>
      <c r="V270" s="32"/>
      <c r="W270" s="240"/>
      <c r="X270" s="64"/>
      <c r="Y270" s="75"/>
      <c r="Z270" s="64"/>
      <c r="AA270" s="64"/>
      <c r="AB270" s="25"/>
      <c r="AC270" s="23"/>
      <c r="AD270" s="23"/>
      <c r="AE270" s="23"/>
      <c r="AF270" s="335"/>
      <c r="AG270" s="336"/>
      <c r="AH270" s="334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</row>
    <row r="271" spans="1:346" s="26" customFormat="1" ht="12" hidden="1" customHeight="1" x14ac:dyDescent="0.25">
      <c r="A271" s="21"/>
      <c r="B271" s="21"/>
      <c r="C271" s="22"/>
      <c r="D271" s="353"/>
      <c r="E271" s="73"/>
      <c r="F271" s="7"/>
      <c r="G271" s="7"/>
      <c r="H271" s="7"/>
      <c r="I271" s="180"/>
      <c r="J271" s="180"/>
      <c r="K271" s="284"/>
      <c r="L271" s="193"/>
      <c r="M271" s="180"/>
      <c r="N271" s="180"/>
      <c r="O271" s="180"/>
      <c r="P271" s="180"/>
      <c r="Q271" s="180"/>
      <c r="R271" s="180"/>
      <c r="S271" s="24"/>
      <c r="T271" s="182"/>
      <c r="U271" s="24"/>
      <c r="V271" s="32"/>
      <c r="W271" s="240"/>
      <c r="X271" s="64"/>
      <c r="Y271" s="75"/>
      <c r="Z271" s="64"/>
      <c r="AA271" s="64"/>
      <c r="AB271" s="25"/>
      <c r="AC271" s="23"/>
      <c r="AD271" s="23"/>
      <c r="AE271" s="23"/>
      <c r="AF271" s="335"/>
      <c r="AG271" s="336"/>
      <c r="AH271" s="334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</row>
    <row r="272" spans="1:346" s="26" customFormat="1" ht="12" hidden="1" customHeight="1" x14ac:dyDescent="0.25">
      <c r="A272" s="21"/>
      <c r="B272" s="21"/>
      <c r="C272" s="22"/>
      <c r="D272" s="353"/>
      <c r="E272" s="73"/>
      <c r="F272" s="7"/>
      <c r="G272" s="7"/>
      <c r="H272" s="7"/>
      <c r="I272" s="180"/>
      <c r="J272" s="180"/>
      <c r="K272" s="284"/>
      <c r="L272" s="193"/>
      <c r="M272" s="180"/>
      <c r="N272" s="180"/>
      <c r="O272" s="180"/>
      <c r="P272" s="180"/>
      <c r="Q272" s="180"/>
      <c r="R272" s="180"/>
      <c r="S272" s="24"/>
      <c r="T272" s="182"/>
      <c r="U272" s="24"/>
      <c r="V272" s="32"/>
      <c r="W272" s="240"/>
      <c r="X272" s="64"/>
      <c r="Y272" s="75"/>
      <c r="Z272" s="64"/>
      <c r="AA272" s="64"/>
      <c r="AB272" s="25"/>
      <c r="AC272" s="23"/>
      <c r="AD272" s="23"/>
      <c r="AE272" s="23"/>
      <c r="AF272" s="335"/>
      <c r="AG272" s="336"/>
      <c r="AH272" s="334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</row>
    <row r="273" spans="1:346" s="26" customFormat="1" ht="12" hidden="1" customHeight="1" x14ac:dyDescent="0.25">
      <c r="A273" s="21"/>
      <c r="B273" s="21"/>
      <c r="C273" s="22"/>
      <c r="D273" s="353"/>
      <c r="E273" s="73"/>
      <c r="F273" s="7"/>
      <c r="G273" s="7"/>
      <c r="H273" s="7"/>
      <c r="I273" s="180"/>
      <c r="J273" s="180"/>
      <c r="K273" s="284"/>
      <c r="L273" s="193"/>
      <c r="M273" s="180"/>
      <c r="N273" s="180"/>
      <c r="O273" s="180"/>
      <c r="P273" s="180"/>
      <c r="Q273" s="180"/>
      <c r="R273" s="180"/>
      <c r="S273" s="24"/>
      <c r="T273" s="182"/>
      <c r="U273" s="24"/>
      <c r="V273" s="32"/>
      <c r="W273" s="240"/>
      <c r="X273" s="64"/>
      <c r="Y273" s="75"/>
      <c r="Z273" s="64"/>
      <c r="AA273" s="64"/>
      <c r="AB273" s="25"/>
      <c r="AC273" s="23"/>
      <c r="AD273" s="23"/>
      <c r="AE273" s="23"/>
      <c r="AF273" s="335"/>
      <c r="AG273" s="336"/>
      <c r="AH273" s="334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</row>
    <row r="274" spans="1:346" s="26" customFormat="1" ht="12" hidden="1" customHeight="1" x14ac:dyDescent="0.25">
      <c r="A274" s="21"/>
      <c r="B274" s="21"/>
      <c r="C274" s="22"/>
      <c r="D274" s="353"/>
      <c r="E274" s="73"/>
      <c r="F274" s="7"/>
      <c r="G274" s="7"/>
      <c r="H274" s="7"/>
      <c r="I274" s="180"/>
      <c r="J274" s="180"/>
      <c r="K274" s="284"/>
      <c r="L274" s="193"/>
      <c r="M274" s="180"/>
      <c r="N274" s="180"/>
      <c r="O274" s="180"/>
      <c r="P274" s="180"/>
      <c r="Q274" s="180"/>
      <c r="R274" s="180"/>
      <c r="S274" s="24"/>
      <c r="T274" s="182"/>
      <c r="U274" s="24"/>
      <c r="V274" s="32"/>
      <c r="W274" s="240"/>
      <c r="X274" s="64"/>
      <c r="Y274" s="75"/>
      <c r="Z274" s="64"/>
      <c r="AA274" s="64"/>
      <c r="AB274" s="25"/>
      <c r="AC274" s="23"/>
      <c r="AD274" s="23"/>
      <c r="AE274" s="23"/>
      <c r="AF274" s="335"/>
      <c r="AG274" s="336"/>
      <c r="AH274" s="334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</row>
    <row r="275" spans="1:346" s="26" customFormat="1" ht="12" hidden="1" customHeight="1" x14ac:dyDescent="0.25">
      <c r="A275" s="21"/>
      <c r="B275" s="21"/>
      <c r="C275" s="22"/>
      <c r="D275" s="353"/>
      <c r="E275" s="73"/>
      <c r="F275" s="7"/>
      <c r="G275" s="7"/>
      <c r="H275" s="7"/>
      <c r="I275" s="180"/>
      <c r="J275" s="180"/>
      <c r="K275" s="284"/>
      <c r="L275" s="193"/>
      <c r="M275" s="180"/>
      <c r="N275" s="180"/>
      <c r="O275" s="180"/>
      <c r="P275" s="180"/>
      <c r="Q275" s="180"/>
      <c r="R275" s="180"/>
      <c r="S275" s="24"/>
      <c r="T275" s="182"/>
      <c r="U275" s="24"/>
      <c r="V275" s="32"/>
      <c r="W275" s="240"/>
      <c r="X275" s="64"/>
      <c r="Y275" s="75"/>
      <c r="Z275" s="64"/>
      <c r="AA275" s="64"/>
      <c r="AB275" s="25"/>
      <c r="AC275" s="23"/>
      <c r="AD275" s="23"/>
      <c r="AE275" s="23"/>
      <c r="AF275" s="335"/>
      <c r="AG275" s="336"/>
      <c r="AH275" s="334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</row>
    <row r="276" spans="1:346" s="26" customFormat="1" ht="12" hidden="1" customHeight="1" x14ac:dyDescent="0.25">
      <c r="A276" s="21"/>
      <c r="B276" s="21"/>
      <c r="C276" s="22"/>
      <c r="D276" s="353"/>
      <c r="E276" s="73"/>
      <c r="F276" s="7"/>
      <c r="G276" s="7"/>
      <c r="H276" s="7"/>
      <c r="I276" s="180"/>
      <c r="J276" s="180"/>
      <c r="K276" s="284"/>
      <c r="L276" s="193"/>
      <c r="M276" s="180"/>
      <c r="N276" s="180"/>
      <c r="O276" s="180"/>
      <c r="P276" s="180"/>
      <c r="Q276" s="180"/>
      <c r="R276" s="180"/>
      <c r="S276" s="24"/>
      <c r="T276" s="182"/>
      <c r="U276" s="24"/>
      <c r="V276" s="32"/>
      <c r="W276" s="240"/>
      <c r="X276" s="64"/>
      <c r="Y276" s="75"/>
      <c r="Z276" s="64"/>
      <c r="AA276" s="64"/>
      <c r="AB276" s="25"/>
      <c r="AC276" s="23"/>
      <c r="AD276" s="23"/>
      <c r="AE276" s="23"/>
      <c r="AF276" s="335"/>
      <c r="AG276" s="336"/>
      <c r="AH276" s="334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</row>
    <row r="277" spans="1:346" s="26" customFormat="1" ht="12" hidden="1" customHeight="1" x14ac:dyDescent="0.25">
      <c r="A277" s="21"/>
      <c r="B277" s="21"/>
      <c r="C277" s="22"/>
      <c r="D277" s="353"/>
      <c r="E277" s="73"/>
      <c r="F277" s="7"/>
      <c r="G277" s="7"/>
      <c r="H277" s="7"/>
      <c r="I277" s="180"/>
      <c r="J277" s="180"/>
      <c r="K277" s="284"/>
      <c r="L277" s="193"/>
      <c r="M277" s="180"/>
      <c r="N277" s="180"/>
      <c r="O277" s="180"/>
      <c r="P277" s="180"/>
      <c r="Q277" s="180"/>
      <c r="R277" s="180"/>
      <c r="S277" s="24"/>
      <c r="T277" s="182"/>
      <c r="U277" s="24"/>
      <c r="V277" s="32"/>
      <c r="W277" s="240"/>
      <c r="X277" s="64"/>
      <c r="Y277" s="75"/>
      <c r="Z277" s="64"/>
      <c r="AA277" s="64"/>
      <c r="AB277" s="25"/>
      <c r="AC277" s="23"/>
      <c r="AD277" s="23"/>
      <c r="AE277" s="23"/>
      <c r="AF277" s="335"/>
      <c r="AG277" s="336"/>
      <c r="AH277" s="334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</row>
    <row r="278" spans="1:346" s="26" customFormat="1" ht="12" hidden="1" customHeight="1" x14ac:dyDescent="0.25">
      <c r="A278" s="21"/>
      <c r="B278" s="21"/>
      <c r="C278" s="22"/>
      <c r="D278" s="353"/>
      <c r="E278" s="73"/>
      <c r="F278" s="7"/>
      <c r="G278" s="7"/>
      <c r="H278" s="7"/>
      <c r="I278" s="180"/>
      <c r="J278" s="180"/>
      <c r="K278" s="284"/>
      <c r="L278" s="193"/>
      <c r="M278" s="180"/>
      <c r="N278" s="180"/>
      <c r="O278" s="180"/>
      <c r="P278" s="180"/>
      <c r="Q278" s="180"/>
      <c r="R278" s="180"/>
      <c r="S278" s="24"/>
      <c r="T278" s="182"/>
      <c r="U278" s="24"/>
      <c r="V278" s="32"/>
      <c r="W278" s="240"/>
      <c r="X278" s="64"/>
      <c r="Y278" s="75"/>
      <c r="Z278" s="64"/>
      <c r="AA278" s="64"/>
      <c r="AB278" s="25"/>
      <c r="AC278" s="23"/>
      <c r="AD278" s="23"/>
      <c r="AE278" s="23"/>
      <c r="AF278" s="335"/>
      <c r="AG278" s="336"/>
      <c r="AH278" s="334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</row>
    <row r="279" spans="1:346" s="26" customFormat="1" ht="12" hidden="1" customHeight="1" x14ac:dyDescent="0.25">
      <c r="A279" s="21"/>
      <c r="B279" s="21"/>
      <c r="C279" s="22"/>
      <c r="D279" s="353"/>
      <c r="E279" s="73"/>
      <c r="F279" s="7"/>
      <c r="G279" s="7"/>
      <c r="H279" s="7"/>
      <c r="I279" s="180"/>
      <c r="J279" s="180"/>
      <c r="K279" s="284"/>
      <c r="L279" s="193"/>
      <c r="M279" s="180"/>
      <c r="N279" s="180"/>
      <c r="O279" s="180"/>
      <c r="P279" s="180"/>
      <c r="Q279" s="180"/>
      <c r="R279" s="180"/>
      <c r="S279" s="24"/>
      <c r="T279" s="182"/>
      <c r="U279" s="24"/>
      <c r="V279" s="32"/>
      <c r="W279" s="240"/>
      <c r="X279" s="64"/>
      <c r="Y279" s="75"/>
      <c r="Z279" s="64"/>
      <c r="AA279" s="64"/>
      <c r="AB279" s="25"/>
      <c r="AC279" s="23"/>
      <c r="AD279" s="23"/>
      <c r="AE279" s="23"/>
      <c r="AF279" s="335"/>
      <c r="AG279" s="336"/>
      <c r="AH279" s="334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</row>
    <row r="280" spans="1:346" s="26" customFormat="1" ht="12" hidden="1" customHeight="1" x14ac:dyDescent="0.25">
      <c r="A280" s="21"/>
      <c r="B280" s="21"/>
      <c r="C280" s="22"/>
      <c r="D280" s="353"/>
      <c r="E280" s="73"/>
      <c r="F280" s="7"/>
      <c r="G280" s="7"/>
      <c r="H280" s="7"/>
      <c r="I280" s="180"/>
      <c r="J280" s="180"/>
      <c r="K280" s="284"/>
      <c r="L280" s="193"/>
      <c r="M280" s="180"/>
      <c r="N280" s="180"/>
      <c r="O280" s="180"/>
      <c r="P280" s="180"/>
      <c r="Q280" s="180"/>
      <c r="R280" s="180"/>
      <c r="S280" s="24"/>
      <c r="T280" s="182"/>
      <c r="U280" s="24"/>
      <c r="V280" s="32"/>
      <c r="W280" s="240"/>
      <c r="X280" s="64"/>
      <c r="Y280" s="75"/>
      <c r="Z280" s="64"/>
      <c r="AA280" s="64"/>
      <c r="AB280" s="25"/>
      <c r="AC280" s="23"/>
      <c r="AD280" s="23"/>
      <c r="AE280" s="23"/>
      <c r="AF280" s="335"/>
      <c r="AG280" s="336"/>
      <c r="AH280" s="334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</row>
    <row r="281" spans="1:346" s="26" customFormat="1" ht="12" hidden="1" customHeight="1" x14ac:dyDescent="0.25">
      <c r="A281" s="21"/>
      <c r="B281" s="21"/>
      <c r="C281" s="22"/>
      <c r="D281" s="353"/>
      <c r="E281" s="73"/>
      <c r="F281" s="7"/>
      <c r="G281" s="7"/>
      <c r="H281" s="7"/>
      <c r="I281" s="180"/>
      <c r="J281" s="180"/>
      <c r="K281" s="284"/>
      <c r="L281" s="193"/>
      <c r="M281" s="180"/>
      <c r="N281" s="180"/>
      <c r="O281" s="180"/>
      <c r="P281" s="180"/>
      <c r="Q281" s="180"/>
      <c r="R281" s="180"/>
      <c r="S281" s="24"/>
      <c r="T281" s="182"/>
      <c r="U281" s="24"/>
      <c r="V281" s="32"/>
      <c r="W281" s="240"/>
      <c r="X281" s="64"/>
      <c r="Y281" s="75"/>
      <c r="Z281" s="64"/>
      <c r="AA281" s="64"/>
      <c r="AB281" s="25"/>
      <c r="AC281" s="23"/>
      <c r="AD281" s="23"/>
      <c r="AE281" s="23"/>
      <c r="AF281" s="335"/>
      <c r="AG281" s="336"/>
      <c r="AH281" s="334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</row>
    <row r="282" spans="1:346" s="26" customFormat="1" ht="12" hidden="1" customHeight="1" x14ac:dyDescent="0.25">
      <c r="A282" s="21"/>
      <c r="B282" s="21"/>
      <c r="C282" s="22"/>
      <c r="D282" s="353"/>
      <c r="E282" s="73"/>
      <c r="F282" s="7"/>
      <c r="G282" s="7"/>
      <c r="H282" s="7"/>
      <c r="I282" s="180"/>
      <c r="J282" s="180"/>
      <c r="K282" s="284"/>
      <c r="L282" s="193"/>
      <c r="M282" s="180"/>
      <c r="N282" s="180"/>
      <c r="O282" s="180"/>
      <c r="P282" s="180"/>
      <c r="Q282" s="180"/>
      <c r="R282" s="180"/>
      <c r="S282" s="24"/>
      <c r="T282" s="182"/>
      <c r="U282" s="24"/>
      <c r="V282" s="32"/>
      <c r="W282" s="240"/>
      <c r="X282" s="64"/>
      <c r="Y282" s="75"/>
      <c r="Z282" s="64"/>
      <c r="AA282" s="64"/>
      <c r="AB282" s="25"/>
      <c r="AC282" s="23"/>
      <c r="AD282" s="23"/>
      <c r="AE282" s="23"/>
      <c r="AF282" s="335"/>
      <c r="AG282" s="336"/>
      <c r="AH282" s="334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</row>
    <row r="283" spans="1:346" s="26" customFormat="1" ht="12" hidden="1" customHeight="1" x14ac:dyDescent="0.25">
      <c r="A283" s="21"/>
      <c r="B283" s="21"/>
      <c r="C283" s="22"/>
      <c r="D283" s="353"/>
      <c r="E283" s="73"/>
      <c r="F283" s="7"/>
      <c r="G283" s="7"/>
      <c r="H283" s="7"/>
      <c r="I283" s="180"/>
      <c r="J283" s="180"/>
      <c r="K283" s="284"/>
      <c r="L283" s="193"/>
      <c r="M283" s="180"/>
      <c r="N283" s="180"/>
      <c r="O283" s="180"/>
      <c r="P283" s="180"/>
      <c r="Q283" s="180"/>
      <c r="R283" s="180"/>
      <c r="S283" s="24"/>
      <c r="T283" s="182"/>
      <c r="U283" s="24"/>
      <c r="V283" s="32"/>
      <c r="W283" s="240"/>
      <c r="X283" s="64"/>
      <c r="Y283" s="75"/>
      <c r="Z283" s="64"/>
      <c r="AA283" s="64"/>
      <c r="AB283" s="25"/>
      <c r="AC283" s="23"/>
      <c r="AD283" s="23"/>
      <c r="AE283" s="23"/>
      <c r="AF283" s="335"/>
      <c r="AG283" s="336"/>
      <c r="AH283" s="334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</row>
    <row r="284" spans="1:346" s="26" customFormat="1" ht="12" hidden="1" customHeight="1" x14ac:dyDescent="0.25">
      <c r="A284" s="21"/>
      <c r="B284" s="21"/>
      <c r="C284" s="22"/>
      <c r="D284" s="353"/>
      <c r="E284" s="73"/>
      <c r="F284" s="7"/>
      <c r="G284" s="7"/>
      <c r="H284" s="7"/>
      <c r="I284" s="180"/>
      <c r="J284" s="180"/>
      <c r="K284" s="284"/>
      <c r="L284" s="193"/>
      <c r="M284" s="180"/>
      <c r="N284" s="180"/>
      <c r="O284" s="180"/>
      <c r="P284" s="180"/>
      <c r="Q284" s="180"/>
      <c r="R284" s="180"/>
      <c r="S284" s="24"/>
      <c r="T284" s="182"/>
      <c r="U284" s="24"/>
      <c r="V284" s="32"/>
      <c r="W284" s="240"/>
      <c r="X284" s="64"/>
      <c r="Y284" s="75"/>
      <c r="Z284" s="64"/>
      <c r="AA284" s="64"/>
      <c r="AB284" s="25"/>
      <c r="AC284" s="23"/>
      <c r="AD284" s="23"/>
      <c r="AE284" s="23"/>
      <c r="AF284" s="335"/>
      <c r="AG284" s="336"/>
      <c r="AH284" s="334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</row>
    <row r="285" spans="1:346" s="26" customFormat="1" ht="12" hidden="1" customHeight="1" x14ac:dyDescent="0.25">
      <c r="A285" s="21"/>
      <c r="B285" s="21"/>
      <c r="C285" s="22"/>
      <c r="D285" s="353"/>
      <c r="E285" s="73"/>
      <c r="F285" s="7"/>
      <c r="G285" s="7"/>
      <c r="H285" s="7"/>
      <c r="I285" s="180"/>
      <c r="J285" s="180"/>
      <c r="K285" s="284"/>
      <c r="L285" s="193"/>
      <c r="M285" s="180"/>
      <c r="N285" s="180"/>
      <c r="O285" s="180"/>
      <c r="P285" s="180"/>
      <c r="Q285" s="180"/>
      <c r="R285" s="180"/>
      <c r="S285" s="24"/>
      <c r="T285" s="182"/>
      <c r="U285" s="24"/>
      <c r="V285" s="32"/>
      <c r="W285" s="240"/>
      <c r="X285" s="64"/>
      <c r="Y285" s="75"/>
      <c r="Z285" s="64"/>
      <c r="AA285" s="64"/>
      <c r="AB285" s="25"/>
      <c r="AC285" s="23"/>
      <c r="AD285" s="23"/>
      <c r="AE285" s="23"/>
      <c r="AF285" s="335"/>
      <c r="AG285" s="336"/>
      <c r="AH285" s="334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</row>
    <row r="286" spans="1:346" s="26" customFormat="1" ht="12" hidden="1" customHeight="1" x14ac:dyDescent="0.25">
      <c r="A286" s="21"/>
      <c r="B286" s="21"/>
      <c r="C286" s="22"/>
      <c r="D286" s="353"/>
      <c r="E286" s="73"/>
      <c r="F286" s="7"/>
      <c r="G286" s="7"/>
      <c r="H286" s="7"/>
      <c r="I286" s="180"/>
      <c r="J286" s="180"/>
      <c r="K286" s="284"/>
      <c r="L286" s="193"/>
      <c r="M286" s="180"/>
      <c r="N286" s="180"/>
      <c r="O286" s="180"/>
      <c r="P286" s="180"/>
      <c r="Q286" s="180"/>
      <c r="R286" s="180"/>
      <c r="S286" s="24"/>
      <c r="T286" s="182"/>
      <c r="U286" s="24"/>
      <c r="V286" s="32"/>
      <c r="W286" s="240"/>
      <c r="X286" s="64"/>
      <c r="Y286" s="75"/>
      <c r="Z286" s="64"/>
      <c r="AA286" s="64"/>
      <c r="AB286" s="25"/>
      <c r="AC286" s="23"/>
      <c r="AD286" s="23"/>
      <c r="AE286" s="23"/>
      <c r="AF286" s="335"/>
      <c r="AG286" s="336"/>
      <c r="AH286" s="334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</row>
    <row r="287" spans="1:346" s="26" customFormat="1" ht="12" hidden="1" customHeight="1" x14ac:dyDescent="0.25">
      <c r="A287" s="21"/>
      <c r="B287" s="21"/>
      <c r="C287" s="22"/>
      <c r="D287" s="353"/>
      <c r="E287" s="73"/>
      <c r="F287" s="7"/>
      <c r="G287" s="7"/>
      <c r="H287" s="7"/>
      <c r="I287" s="180"/>
      <c r="J287" s="180"/>
      <c r="K287" s="284"/>
      <c r="L287" s="193"/>
      <c r="M287" s="180"/>
      <c r="N287" s="180"/>
      <c r="O287" s="180"/>
      <c r="P287" s="180"/>
      <c r="Q287" s="180"/>
      <c r="R287" s="180"/>
      <c r="S287" s="24"/>
      <c r="T287" s="182"/>
      <c r="U287" s="24"/>
      <c r="V287" s="32"/>
      <c r="W287" s="240"/>
      <c r="X287" s="64"/>
      <c r="Y287" s="75"/>
      <c r="Z287" s="64"/>
      <c r="AA287" s="64"/>
      <c r="AB287" s="25"/>
      <c r="AC287" s="23"/>
      <c r="AD287" s="23"/>
      <c r="AE287" s="23"/>
      <c r="AF287" s="335"/>
      <c r="AG287" s="336"/>
      <c r="AH287" s="334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</row>
    <row r="288" spans="1:346" s="26" customFormat="1" ht="12" hidden="1" customHeight="1" x14ac:dyDescent="0.25">
      <c r="A288" s="21"/>
      <c r="B288" s="21"/>
      <c r="C288" s="22"/>
      <c r="D288" s="353"/>
      <c r="E288" s="73"/>
      <c r="F288" s="7"/>
      <c r="G288" s="7"/>
      <c r="H288" s="7"/>
      <c r="I288" s="180"/>
      <c r="J288" s="180"/>
      <c r="K288" s="284"/>
      <c r="L288" s="193"/>
      <c r="M288" s="180"/>
      <c r="N288" s="180"/>
      <c r="O288" s="180"/>
      <c r="P288" s="180"/>
      <c r="Q288" s="180"/>
      <c r="R288" s="180"/>
      <c r="S288" s="24"/>
      <c r="T288" s="182"/>
      <c r="U288" s="24"/>
      <c r="V288" s="32"/>
      <c r="W288" s="240"/>
      <c r="X288" s="64"/>
      <c r="Y288" s="75"/>
      <c r="Z288" s="64"/>
      <c r="AA288" s="64"/>
      <c r="AB288" s="25"/>
      <c r="AC288" s="23"/>
      <c r="AD288" s="23"/>
      <c r="AE288" s="23"/>
      <c r="AF288" s="335"/>
      <c r="AG288" s="336"/>
      <c r="AH288" s="334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</row>
    <row r="289" spans="1:346" s="26" customFormat="1" ht="12" hidden="1" customHeight="1" x14ac:dyDescent="0.25">
      <c r="A289" s="21"/>
      <c r="B289" s="21"/>
      <c r="C289" s="22"/>
      <c r="D289" s="353"/>
      <c r="E289" s="73"/>
      <c r="F289" s="7"/>
      <c r="G289" s="7"/>
      <c r="H289" s="7"/>
      <c r="I289" s="180"/>
      <c r="J289" s="180"/>
      <c r="K289" s="284"/>
      <c r="L289" s="193"/>
      <c r="M289" s="180"/>
      <c r="N289" s="180"/>
      <c r="O289" s="180"/>
      <c r="P289" s="180"/>
      <c r="Q289" s="180"/>
      <c r="R289" s="180"/>
      <c r="S289" s="24"/>
      <c r="T289" s="182"/>
      <c r="U289" s="24"/>
      <c r="V289" s="32"/>
      <c r="W289" s="240"/>
      <c r="X289" s="64"/>
      <c r="Y289" s="75"/>
      <c r="Z289" s="64"/>
      <c r="AA289" s="64"/>
      <c r="AB289" s="25"/>
      <c r="AC289" s="23"/>
      <c r="AD289" s="23"/>
      <c r="AE289" s="23"/>
      <c r="AF289" s="335"/>
      <c r="AG289" s="336"/>
      <c r="AH289" s="334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</row>
    <row r="290" spans="1:346" s="26" customFormat="1" ht="12" hidden="1" customHeight="1" x14ac:dyDescent="0.25">
      <c r="A290" s="21"/>
      <c r="B290" s="21"/>
      <c r="C290" s="22"/>
      <c r="D290" s="353"/>
      <c r="E290" s="73"/>
      <c r="F290" s="7"/>
      <c r="G290" s="7"/>
      <c r="H290" s="7"/>
      <c r="I290" s="180"/>
      <c r="J290" s="180"/>
      <c r="K290" s="284"/>
      <c r="L290" s="193"/>
      <c r="M290" s="180"/>
      <c r="N290" s="180"/>
      <c r="O290" s="180"/>
      <c r="P290" s="180"/>
      <c r="Q290" s="180"/>
      <c r="R290" s="180"/>
      <c r="S290" s="24"/>
      <c r="T290" s="182"/>
      <c r="U290" s="24"/>
      <c r="V290" s="32"/>
      <c r="W290" s="240"/>
      <c r="X290" s="64"/>
      <c r="Y290" s="75"/>
      <c r="Z290" s="64"/>
      <c r="AA290" s="64"/>
      <c r="AB290" s="25"/>
      <c r="AC290" s="23"/>
      <c r="AD290" s="23"/>
      <c r="AE290" s="23"/>
      <c r="AF290" s="335"/>
      <c r="AG290" s="336"/>
      <c r="AH290" s="334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</row>
    <row r="291" spans="1:346" s="26" customFormat="1" ht="12" hidden="1" customHeight="1" x14ac:dyDescent="0.25">
      <c r="A291" s="21"/>
      <c r="B291" s="21"/>
      <c r="C291" s="22"/>
      <c r="D291" s="353"/>
      <c r="E291" s="73"/>
      <c r="F291" s="7"/>
      <c r="G291" s="7"/>
      <c r="H291" s="7"/>
      <c r="I291" s="180"/>
      <c r="J291" s="180"/>
      <c r="K291" s="284"/>
      <c r="L291" s="193"/>
      <c r="M291" s="180"/>
      <c r="N291" s="180"/>
      <c r="O291" s="180"/>
      <c r="P291" s="180"/>
      <c r="Q291" s="180"/>
      <c r="R291" s="180"/>
      <c r="S291" s="24"/>
      <c r="T291" s="182"/>
      <c r="U291" s="24"/>
      <c r="V291" s="32"/>
      <c r="W291" s="240"/>
      <c r="X291" s="64"/>
      <c r="Y291" s="75"/>
      <c r="Z291" s="64"/>
      <c r="AA291" s="64"/>
      <c r="AB291" s="25"/>
      <c r="AC291" s="23"/>
      <c r="AD291" s="23"/>
      <c r="AE291" s="23"/>
      <c r="AF291" s="335"/>
      <c r="AG291" s="336"/>
      <c r="AH291" s="334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</row>
    <row r="292" spans="1:346" s="26" customFormat="1" ht="12" hidden="1" customHeight="1" x14ac:dyDescent="0.25">
      <c r="A292" s="21"/>
      <c r="B292" s="21"/>
      <c r="C292" s="22"/>
      <c r="D292" s="353"/>
      <c r="E292" s="73"/>
      <c r="F292" s="7"/>
      <c r="G292" s="7"/>
      <c r="H292" s="7"/>
      <c r="I292" s="180"/>
      <c r="J292" s="180"/>
      <c r="K292" s="284"/>
      <c r="L292" s="193"/>
      <c r="M292" s="180"/>
      <c r="N292" s="180"/>
      <c r="O292" s="180"/>
      <c r="P292" s="180"/>
      <c r="Q292" s="180"/>
      <c r="R292" s="180"/>
      <c r="S292" s="24"/>
      <c r="T292" s="182"/>
      <c r="U292" s="24"/>
      <c r="V292" s="32"/>
      <c r="W292" s="240"/>
      <c r="X292" s="64"/>
      <c r="Y292" s="75"/>
      <c r="Z292" s="64"/>
      <c r="AA292" s="64"/>
      <c r="AB292" s="25"/>
      <c r="AC292" s="23"/>
      <c r="AD292" s="23"/>
      <c r="AE292" s="23"/>
      <c r="AF292" s="335"/>
      <c r="AG292" s="336"/>
      <c r="AH292" s="334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</row>
    <row r="293" spans="1:346" s="26" customFormat="1" ht="12" hidden="1" customHeight="1" x14ac:dyDescent="0.25">
      <c r="A293" s="21"/>
      <c r="B293" s="21"/>
      <c r="C293" s="22"/>
      <c r="D293" s="353"/>
      <c r="E293" s="73"/>
      <c r="F293" s="7"/>
      <c r="G293" s="7"/>
      <c r="H293" s="7"/>
      <c r="I293" s="180"/>
      <c r="J293" s="180"/>
      <c r="K293" s="284"/>
      <c r="L293" s="193"/>
      <c r="M293" s="180"/>
      <c r="N293" s="180"/>
      <c r="O293" s="180"/>
      <c r="P293" s="180"/>
      <c r="Q293" s="180"/>
      <c r="R293" s="180"/>
      <c r="S293" s="24"/>
      <c r="T293" s="182"/>
      <c r="U293" s="24"/>
      <c r="V293" s="32"/>
      <c r="W293" s="240"/>
      <c r="X293" s="64"/>
      <c r="Y293" s="75"/>
      <c r="Z293" s="64"/>
      <c r="AA293" s="64"/>
      <c r="AB293" s="25"/>
      <c r="AC293" s="23"/>
      <c r="AD293" s="23"/>
      <c r="AE293" s="23"/>
      <c r="AF293" s="335"/>
      <c r="AG293" s="336"/>
      <c r="AH293" s="334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</row>
    <row r="294" spans="1:346" s="26" customFormat="1" ht="12" hidden="1" customHeight="1" x14ac:dyDescent="0.25">
      <c r="A294" s="21"/>
      <c r="B294" s="21"/>
      <c r="C294" s="22"/>
      <c r="D294" s="353"/>
      <c r="E294" s="73"/>
      <c r="F294" s="7"/>
      <c r="G294" s="7"/>
      <c r="H294" s="7"/>
      <c r="I294" s="180"/>
      <c r="J294" s="180"/>
      <c r="K294" s="284"/>
      <c r="L294" s="193"/>
      <c r="M294" s="180"/>
      <c r="N294" s="180"/>
      <c r="O294" s="180"/>
      <c r="P294" s="180"/>
      <c r="Q294" s="180"/>
      <c r="R294" s="180"/>
      <c r="S294" s="24"/>
      <c r="T294" s="182"/>
      <c r="U294" s="24"/>
      <c r="V294" s="32"/>
      <c r="W294" s="240"/>
      <c r="X294" s="64"/>
      <c r="Y294" s="75"/>
      <c r="Z294" s="64"/>
      <c r="AA294" s="64"/>
      <c r="AB294" s="25"/>
      <c r="AC294" s="23"/>
      <c r="AD294" s="23"/>
      <c r="AE294" s="23"/>
      <c r="AF294" s="335"/>
      <c r="AG294" s="336"/>
      <c r="AH294" s="334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</row>
    <row r="295" spans="1:346" s="26" customFormat="1" ht="12" hidden="1" customHeight="1" x14ac:dyDescent="0.25">
      <c r="A295" s="21"/>
      <c r="B295" s="21"/>
      <c r="C295" s="22"/>
      <c r="D295" s="353"/>
      <c r="E295" s="73"/>
      <c r="F295" s="7"/>
      <c r="G295" s="7"/>
      <c r="H295" s="7"/>
      <c r="I295" s="180"/>
      <c r="J295" s="180"/>
      <c r="K295" s="284"/>
      <c r="L295" s="193"/>
      <c r="M295" s="180"/>
      <c r="N295" s="180"/>
      <c r="O295" s="180"/>
      <c r="P295" s="180"/>
      <c r="Q295" s="180"/>
      <c r="R295" s="180"/>
      <c r="S295" s="24"/>
      <c r="T295" s="182"/>
      <c r="U295" s="24"/>
      <c r="V295" s="32"/>
      <c r="W295" s="240"/>
      <c r="X295" s="64"/>
      <c r="Y295" s="75"/>
      <c r="Z295" s="64"/>
      <c r="AA295" s="64"/>
      <c r="AB295" s="25"/>
      <c r="AC295" s="23"/>
      <c r="AD295" s="23"/>
      <c r="AE295" s="23"/>
      <c r="AF295" s="335"/>
      <c r="AG295" s="336"/>
      <c r="AH295" s="334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</row>
    <row r="296" spans="1:346" s="26" customFormat="1" ht="12" hidden="1" customHeight="1" x14ac:dyDescent="0.25">
      <c r="A296" s="21"/>
      <c r="B296" s="21"/>
      <c r="C296" s="22"/>
      <c r="D296" s="353"/>
      <c r="E296" s="73"/>
      <c r="F296" s="7"/>
      <c r="G296" s="7"/>
      <c r="H296" s="7"/>
      <c r="I296" s="180"/>
      <c r="J296" s="180"/>
      <c r="K296" s="284"/>
      <c r="L296" s="193"/>
      <c r="M296" s="180"/>
      <c r="N296" s="180"/>
      <c r="O296" s="180"/>
      <c r="P296" s="180"/>
      <c r="Q296" s="180"/>
      <c r="R296" s="180"/>
      <c r="S296" s="24"/>
      <c r="T296" s="182"/>
      <c r="U296" s="24"/>
      <c r="V296" s="32"/>
      <c r="W296" s="240"/>
      <c r="X296" s="64"/>
      <c r="Y296" s="75"/>
      <c r="Z296" s="64"/>
      <c r="AA296" s="64"/>
      <c r="AB296" s="25"/>
      <c r="AC296" s="23"/>
      <c r="AD296" s="23"/>
      <c r="AE296" s="23"/>
      <c r="AF296" s="335"/>
      <c r="AG296" s="336"/>
      <c r="AH296" s="334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</row>
    <row r="297" spans="1:346" s="26" customFormat="1" ht="12" hidden="1" customHeight="1" x14ac:dyDescent="0.25">
      <c r="A297" s="21"/>
      <c r="B297" s="21"/>
      <c r="C297" s="22"/>
      <c r="D297" s="353"/>
      <c r="E297" s="73"/>
      <c r="F297" s="7"/>
      <c r="G297" s="7"/>
      <c r="H297" s="7"/>
      <c r="I297" s="180"/>
      <c r="J297" s="180"/>
      <c r="K297" s="284"/>
      <c r="L297" s="193"/>
      <c r="M297" s="180"/>
      <c r="N297" s="180"/>
      <c r="O297" s="180"/>
      <c r="P297" s="180"/>
      <c r="Q297" s="180"/>
      <c r="R297" s="180"/>
      <c r="S297" s="24"/>
      <c r="T297" s="182"/>
      <c r="U297" s="24"/>
      <c r="V297" s="32"/>
      <c r="W297" s="240"/>
      <c r="X297" s="64"/>
      <c r="Y297" s="75"/>
      <c r="Z297" s="64"/>
      <c r="AA297" s="64"/>
      <c r="AB297" s="25"/>
      <c r="AC297" s="23"/>
      <c r="AD297" s="23"/>
      <c r="AE297" s="23"/>
      <c r="AF297" s="335"/>
      <c r="AG297" s="336"/>
      <c r="AH297" s="334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</row>
    <row r="298" spans="1:346" s="26" customFormat="1" ht="12" hidden="1" customHeight="1" x14ac:dyDescent="0.25">
      <c r="A298" s="21"/>
      <c r="B298" s="21"/>
      <c r="C298" s="22"/>
      <c r="D298" s="353"/>
      <c r="E298" s="73"/>
      <c r="F298" s="7"/>
      <c r="G298" s="7"/>
      <c r="H298" s="7"/>
      <c r="I298" s="180"/>
      <c r="J298" s="180"/>
      <c r="K298" s="284"/>
      <c r="L298" s="193"/>
      <c r="M298" s="180"/>
      <c r="N298" s="180"/>
      <c r="O298" s="180"/>
      <c r="P298" s="180"/>
      <c r="Q298" s="180"/>
      <c r="R298" s="180"/>
      <c r="S298" s="24"/>
      <c r="T298" s="182"/>
      <c r="U298" s="24"/>
      <c r="V298" s="32"/>
      <c r="W298" s="240"/>
      <c r="X298" s="64"/>
      <c r="Y298" s="75"/>
      <c r="Z298" s="64"/>
      <c r="AA298" s="64"/>
      <c r="AB298" s="25"/>
      <c r="AC298" s="23"/>
      <c r="AD298" s="23"/>
      <c r="AE298" s="23"/>
      <c r="AF298" s="335"/>
      <c r="AG298" s="336"/>
      <c r="AH298" s="334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</row>
    <row r="299" spans="1:346" s="26" customFormat="1" ht="12" hidden="1" customHeight="1" x14ac:dyDescent="0.25">
      <c r="A299" s="21"/>
      <c r="B299" s="21"/>
      <c r="C299" s="22"/>
      <c r="D299" s="353"/>
      <c r="E299" s="73"/>
      <c r="F299" s="7"/>
      <c r="G299" s="7"/>
      <c r="H299" s="7"/>
      <c r="I299" s="180"/>
      <c r="J299" s="180"/>
      <c r="K299" s="284"/>
      <c r="L299" s="193"/>
      <c r="M299" s="180"/>
      <c r="N299" s="180"/>
      <c r="O299" s="180"/>
      <c r="P299" s="180"/>
      <c r="Q299" s="180"/>
      <c r="R299" s="180"/>
      <c r="S299" s="24"/>
      <c r="T299" s="182"/>
      <c r="U299" s="24"/>
      <c r="V299" s="32"/>
      <c r="W299" s="240"/>
      <c r="X299" s="64"/>
      <c r="Y299" s="75"/>
      <c r="Z299" s="64"/>
      <c r="AA299" s="64"/>
      <c r="AB299" s="25"/>
      <c r="AC299" s="23"/>
      <c r="AD299" s="23"/>
      <c r="AE299" s="23"/>
      <c r="AF299" s="335"/>
      <c r="AG299" s="336"/>
      <c r="AH299" s="334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</row>
    <row r="300" spans="1:346" s="26" customFormat="1" ht="12" hidden="1" customHeight="1" x14ac:dyDescent="0.25">
      <c r="A300" s="21"/>
      <c r="B300" s="21"/>
      <c r="C300" s="22"/>
      <c r="D300" s="353"/>
      <c r="E300" s="73"/>
      <c r="F300" s="7"/>
      <c r="G300" s="7"/>
      <c r="H300" s="7"/>
      <c r="I300" s="180"/>
      <c r="J300" s="180"/>
      <c r="K300" s="284"/>
      <c r="L300" s="193"/>
      <c r="M300" s="180"/>
      <c r="N300" s="180"/>
      <c r="O300" s="180"/>
      <c r="P300" s="180"/>
      <c r="Q300" s="180"/>
      <c r="R300" s="180"/>
      <c r="S300" s="24"/>
      <c r="T300" s="182"/>
      <c r="U300" s="24"/>
      <c r="V300" s="32"/>
      <c r="W300" s="240"/>
      <c r="X300" s="64"/>
      <c r="Y300" s="75"/>
      <c r="Z300" s="64"/>
      <c r="AA300" s="64"/>
      <c r="AB300" s="25"/>
      <c r="AC300" s="23"/>
      <c r="AD300" s="23"/>
      <c r="AE300" s="23"/>
      <c r="AF300" s="335"/>
      <c r="AG300" s="336"/>
      <c r="AH300" s="334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</row>
    <row r="301" spans="1:346" s="26" customFormat="1" ht="12" hidden="1" customHeight="1" x14ac:dyDescent="0.25">
      <c r="A301" s="21"/>
      <c r="B301" s="21"/>
      <c r="C301" s="22"/>
      <c r="D301" s="353"/>
      <c r="E301" s="73"/>
      <c r="F301" s="7"/>
      <c r="G301" s="7"/>
      <c r="H301" s="7"/>
      <c r="I301" s="180"/>
      <c r="J301" s="180"/>
      <c r="K301" s="284"/>
      <c r="L301" s="193"/>
      <c r="M301" s="180"/>
      <c r="N301" s="180"/>
      <c r="O301" s="180"/>
      <c r="P301" s="180"/>
      <c r="Q301" s="180"/>
      <c r="R301" s="180"/>
      <c r="S301" s="24"/>
      <c r="T301" s="182"/>
      <c r="U301" s="24"/>
      <c r="V301" s="32"/>
      <c r="W301" s="240"/>
      <c r="X301" s="64"/>
      <c r="Y301" s="75"/>
      <c r="Z301" s="64"/>
      <c r="AA301" s="64"/>
      <c r="AB301" s="25"/>
      <c r="AC301" s="23"/>
      <c r="AD301" s="23"/>
      <c r="AE301" s="23"/>
      <c r="AF301" s="335"/>
      <c r="AG301" s="336"/>
      <c r="AH301" s="334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</row>
    <row r="302" spans="1:346" s="26" customFormat="1" ht="12" hidden="1" customHeight="1" x14ac:dyDescent="0.25">
      <c r="A302" s="21"/>
      <c r="B302" s="21"/>
      <c r="C302" s="22"/>
      <c r="D302" s="353"/>
      <c r="E302" s="73"/>
      <c r="F302" s="7"/>
      <c r="G302" s="7"/>
      <c r="H302" s="7"/>
      <c r="I302" s="180"/>
      <c r="J302" s="180"/>
      <c r="K302" s="284"/>
      <c r="L302" s="193"/>
      <c r="M302" s="180"/>
      <c r="N302" s="180"/>
      <c r="O302" s="180"/>
      <c r="P302" s="180"/>
      <c r="Q302" s="180"/>
      <c r="R302" s="180"/>
      <c r="S302" s="24"/>
      <c r="T302" s="182"/>
      <c r="U302" s="24"/>
      <c r="V302" s="32"/>
      <c r="W302" s="240"/>
      <c r="X302" s="64"/>
      <c r="Y302" s="75"/>
      <c r="Z302" s="64"/>
      <c r="AA302" s="64"/>
      <c r="AB302" s="25"/>
      <c r="AC302" s="23"/>
      <c r="AD302" s="23"/>
      <c r="AE302" s="23"/>
      <c r="AF302" s="335"/>
      <c r="AG302" s="336"/>
      <c r="AH302" s="334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</row>
    <row r="303" spans="1:346" s="26" customFormat="1" ht="12" hidden="1" customHeight="1" x14ac:dyDescent="0.25">
      <c r="A303" s="21"/>
      <c r="B303" s="21"/>
      <c r="C303" s="22"/>
      <c r="D303" s="353"/>
      <c r="E303" s="73"/>
      <c r="F303" s="7"/>
      <c r="G303" s="7"/>
      <c r="H303" s="7"/>
      <c r="I303" s="180"/>
      <c r="J303" s="180"/>
      <c r="K303" s="284"/>
      <c r="L303" s="193"/>
      <c r="M303" s="180"/>
      <c r="N303" s="180"/>
      <c r="O303" s="180"/>
      <c r="P303" s="180"/>
      <c r="Q303" s="180"/>
      <c r="R303" s="180"/>
      <c r="S303" s="24"/>
      <c r="T303" s="182"/>
      <c r="U303" s="24"/>
      <c r="V303" s="32"/>
      <c r="W303" s="240"/>
      <c r="X303" s="64"/>
      <c r="Y303" s="75"/>
      <c r="Z303" s="64"/>
      <c r="AA303" s="64"/>
      <c r="AB303" s="25"/>
      <c r="AC303" s="23"/>
      <c r="AD303" s="23"/>
      <c r="AE303" s="23"/>
      <c r="AF303" s="335"/>
      <c r="AG303" s="336"/>
      <c r="AH303" s="334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</row>
    <row r="304" spans="1:346" s="26" customFormat="1" ht="12" hidden="1" customHeight="1" x14ac:dyDescent="0.25">
      <c r="A304" s="21"/>
      <c r="B304" s="21"/>
      <c r="C304" s="22"/>
      <c r="D304" s="353"/>
      <c r="E304" s="73"/>
      <c r="F304" s="7"/>
      <c r="G304" s="7"/>
      <c r="H304" s="7"/>
      <c r="I304" s="180"/>
      <c r="J304" s="180"/>
      <c r="K304" s="284"/>
      <c r="L304" s="193"/>
      <c r="M304" s="180"/>
      <c r="N304" s="180"/>
      <c r="O304" s="180"/>
      <c r="P304" s="180"/>
      <c r="Q304" s="180"/>
      <c r="R304" s="180"/>
      <c r="S304" s="24"/>
      <c r="T304" s="182"/>
      <c r="U304" s="24"/>
      <c r="V304" s="32"/>
      <c r="W304" s="240"/>
      <c r="X304" s="64"/>
      <c r="Y304" s="75"/>
      <c r="Z304" s="64"/>
      <c r="AA304" s="64"/>
      <c r="AB304" s="25"/>
      <c r="AC304" s="23"/>
      <c r="AD304" s="23"/>
      <c r="AE304" s="23"/>
      <c r="AF304" s="335"/>
      <c r="AG304" s="336"/>
      <c r="AH304" s="334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</row>
    <row r="305" spans="1:346" s="26" customFormat="1" ht="12" hidden="1" customHeight="1" x14ac:dyDescent="0.25">
      <c r="A305" s="21"/>
      <c r="B305" s="21"/>
      <c r="C305" s="22"/>
      <c r="D305" s="353"/>
      <c r="E305" s="73"/>
      <c r="F305" s="7"/>
      <c r="G305" s="7"/>
      <c r="H305" s="7"/>
      <c r="I305" s="180"/>
      <c r="J305" s="180"/>
      <c r="K305" s="284"/>
      <c r="L305" s="193"/>
      <c r="M305" s="180"/>
      <c r="N305" s="180"/>
      <c r="O305" s="180"/>
      <c r="P305" s="180"/>
      <c r="Q305" s="180"/>
      <c r="R305" s="180"/>
      <c r="S305" s="24"/>
      <c r="T305" s="182"/>
      <c r="U305" s="24"/>
      <c r="V305" s="32"/>
      <c r="W305" s="240"/>
      <c r="X305" s="64"/>
      <c r="Y305" s="75"/>
      <c r="Z305" s="64"/>
      <c r="AA305" s="64"/>
      <c r="AB305" s="25"/>
      <c r="AC305" s="23"/>
      <c r="AD305" s="23"/>
      <c r="AE305" s="23"/>
      <c r="AF305" s="335"/>
      <c r="AG305" s="336"/>
      <c r="AH305" s="334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</row>
    <row r="306" spans="1:346" s="26" customFormat="1" ht="12" hidden="1" customHeight="1" x14ac:dyDescent="0.25">
      <c r="A306" s="21"/>
      <c r="B306" s="21"/>
      <c r="C306" s="22"/>
      <c r="D306" s="353"/>
      <c r="E306" s="73"/>
      <c r="F306" s="7"/>
      <c r="G306" s="7"/>
      <c r="H306" s="7"/>
      <c r="I306" s="180"/>
      <c r="J306" s="180"/>
      <c r="K306" s="284"/>
      <c r="L306" s="193"/>
      <c r="M306" s="180"/>
      <c r="N306" s="180"/>
      <c r="O306" s="180"/>
      <c r="P306" s="180"/>
      <c r="Q306" s="180"/>
      <c r="R306" s="180"/>
      <c r="S306" s="24"/>
      <c r="T306" s="182"/>
      <c r="U306" s="24"/>
      <c r="V306" s="32"/>
      <c r="W306" s="240"/>
      <c r="X306" s="64"/>
      <c r="Y306" s="75"/>
      <c r="Z306" s="64"/>
      <c r="AA306" s="64"/>
      <c r="AB306" s="25"/>
      <c r="AC306" s="23"/>
      <c r="AD306" s="23"/>
      <c r="AE306" s="23"/>
      <c r="AF306" s="335"/>
      <c r="AG306" s="336"/>
      <c r="AH306" s="334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</row>
    <row r="307" spans="1:346" s="26" customFormat="1" ht="12" hidden="1" customHeight="1" x14ac:dyDescent="0.25">
      <c r="A307" s="21"/>
      <c r="B307" s="21"/>
      <c r="C307" s="22"/>
      <c r="D307" s="353"/>
      <c r="E307" s="73"/>
      <c r="F307" s="7"/>
      <c r="G307" s="7"/>
      <c r="H307" s="7"/>
      <c r="I307" s="180"/>
      <c r="J307" s="180"/>
      <c r="K307" s="284"/>
      <c r="L307" s="193"/>
      <c r="M307" s="180"/>
      <c r="N307" s="180"/>
      <c r="O307" s="180"/>
      <c r="P307" s="180"/>
      <c r="Q307" s="180"/>
      <c r="R307" s="180"/>
      <c r="S307" s="24"/>
      <c r="T307" s="182"/>
      <c r="U307" s="24"/>
      <c r="V307" s="32"/>
      <c r="W307" s="240"/>
      <c r="X307" s="64"/>
      <c r="Y307" s="75"/>
      <c r="Z307" s="64"/>
      <c r="AA307" s="64"/>
      <c r="AB307" s="25"/>
      <c r="AC307" s="23"/>
      <c r="AD307" s="23"/>
      <c r="AE307" s="23"/>
      <c r="AF307" s="335"/>
      <c r="AG307" s="336"/>
      <c r="AH307" s="334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</row>
    <row r="308" spans="1:346" s="26" customFormat="1" ht="12" hidden="1" customHeight="1" x14ac:dyDescent="0.25">
      <c r="A308" s="21"/>
      <c r="B308" s="21"/>
      <c r="C308" s="22"/>
      <c r="D308" s="353"/>
      <c r="E308" s="73"/>
      <c r="F308" s="7"/>
      <c r="G308" s="7"/>
      <c r="H308" s="7"/>
      <c r="I308" s="180"/>
      <c r="J308" s="180"/>
      <c r="K308" s="284"/>
      <c r="L308" s="193"/>
      <c r="M308" s="180"/>
      <c r="N308" s="180"/>
      <c r="O308" s="180"/>
      <c r="P308" s="180"/>
      <c r="Q308" s="180"/>
      <c r="R308" s="180"/>
      <c r="S308" s="24"/>
      <c r="T308" s="182"/>
      <c r="U308" s="24"/>
      <c r="V308" s="32"/>
      <c r="W308" s="240"/>
      <c r="X308" s="64"/>
      <c r="Y308" s="75"/>
      <c r="Z308" s="64"/>
      <c r="AA308" s="64"/>
      <c r="AB308" s="25"/>
      <c r="AC308" s="23"/>
      <c r="AD308" s="23"/>
      <c r="AE308" s="23"/>
      <c r="AF308" s="335"/>
      <c r="AG308" s="336"/>
      <c r="AH308" s="334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</row>
    <row r="309" spans="1:346" s="26" customFormat="1" ht="12" hidden="1" customHeight="1" x14ac:dyDescent="0.25">
      <c r="A309" s="21"/>
      <c r="B309" s="21"/>
      <c r="C309" s="22"/>
      <c r="D309" s="353"/>
      <c r="E309" s="73"/>
      <c r="F309" s="7"/>
      <c r="G309" s="7"/>
      <c r="H309" s="7"/>
      <c r="I309" s="180"/>
      <c r="J309" s="180"/>
      <c r="K309" s="284"/>
      <c r="L309" s="193"/>
      <c r="M309" s="180"/>
      <c r="N309" s="180"/>
      <c r="O309" s="180"/>
      <c r="P309" s="180"/>
      <c r="Q309" s="180"/>
      <c r="R309" s="180"/>
      <c r="S309" s="24"/>
      <c r="T309" s="182"/>
      <c r="U309" s="24"/>
      <c r="V309" s="32"/>
      <c r="W309" s="240"/>
      <c r="X309" s="64"/>
      <c r="Y309" s="75"/>
      <c r="Z309" s="64"/>
      <c r="AA309" s="64"/>
      <c r="AB309" s="25"/>
      <c r="AC309" s="23"/>
      <c r="AD309" s="23"/>
      <c r="AE309" s="23"/>
      <c r="AF309" s="335"/>
      <c r="AG309" s="336"/>
      <c r="AH309" s="334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</row>
    <row r="310" spans="1:346" s="26" customFormat="1" ht="12" hidden="1" customHeight="1" x14ac:dyDescent="0.25">
      <c r="A310" s="21"/>
      <c r="B310" s="21"/>
      <c r="C310" s="22"/>
      <c r="D310" s="353"/>
      <c r="E310" s="73"/>
      <c r="F310" s="7"/>
      <c r="G310" s="7"/>
      <c r="H310" s="7"/>
      <c r="I310" s="180"/>
      <c r="J310" s="180"/>
      <c r="K310" s="284"/>
      <c r="L310" s="193"/>
      <c r="M310" s="180"/>
      <c r="N310" s="180"/>
      <c r="O310" s="180"/>
      <c r="P310" s="180"/>
      <c r="Q310" s="180"/>
      <c r="R310" s="180"/>
      <c r="S310" s="24"/>
      <c r="T310" s="182"/>
      <c r="U310" s="24"/>
      <c r="V310" s="32"/>
      <c r="W310" s="240"/>
      <c r="X310" s="64"/>
      <c r="Y310" s="75"/>
      <c r="Z310" s="64"/>
      <c r="AA310" s="64"/>
      <c r="AB310" s="25"/>
      <c r="AC310" s="23"/>
      <c r="AD310" s="23"/>
      <c r="AE310" s="23"/>
      <c r="AF310" s="335"/>
      <c r="AG310" s="336"/>
      <c r="AH310" s="334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</row>
    <row r="311" spans="1:346" s="26" customFormat="1" ht="12" hidden="1" customHeight="1" x14ac:dyDescent="0.25">
      <c r="A311" s="21"/>
      <c r="B311" s="21"/>
      <c r="C311" s="22"/>
      <c r="D311" s="353"/>
      <c r="E311" s="73"/>
      <c r="F311" s="7"/>
      <c r="G311" s="7"/>
      <c r="H311" s="7"/>
      <c r="I311" s="180"/>
      <c r="J311" s="180"/>
      <c r="K311" s="284"/>
      <c r="L311" s="193"/>
      <c r="M311" s="180"/>
      <c r="N311" s="180"/>
      <c r="O311" s="180"/>
      <c r="P311" s="180"/>
      <c r="Q311" s="180"/>
      <c r="R311" s="180"/>
      <c r="S311" s="24"/>
      <c r="T311" s="182"/>
      <c r="U311" s="24"/>
      <c r="V311" s="32"/>
      <c r="W311" s="240"/>
      <c r="X311" s="64"/>
      <c r="Y311" s="75"/>
      <c r="Z311" s="64"/>
      <c r="AA311" s="64"/>
      <c r="AB311" s="25"/>
      <c r="AC311" s="23"/>
      <c r="AD311" s="23"/>
      <c r="AE311" s="23"/>
      <c r="AF311" s="335"/>
      <c r="AG311" s="336"/>
      <c r="AH311" s="334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</row>
    <row r="312" spans="1:346" s="26" customFormat="1" ht="12" hidden="1" customHeight="1" x14ac:dyDescent="0.25">
      <c r="A312" s="21"/>
      <c r="B312" s="21"/>
      <c r="C312" s="22"/>
      <c r="D312" s="353"/>
      <c r="E312" s="73"/>
      <c r="F312" s="7"/>
      <c r="G312" s="7"/>
      <c r="H312" s="7"/>
      <c r="I312" s="180"/>
      <c r="J312" s="180"/>
      <c r="K312" s="284"/>
      <c r="L312" s="193"/>
      <c r="M312" s="180"/>
      <c r="N312" s="180"/>
      <c r="O312" s="180"/>
      <c r="P312" s="180"/>
      <c r="Q312" s="180"/>
      <c r="R312" s="180"/>
      <c r="S312" s="24"/>
      <c r="T312" s="182"/>
      <c r="U312" s="24"/>
      <c r="V312" s="32"/>
      <c r="W312" s="240"/>
      <c r="X312" s="64"/>
      <c r="Y312" s="75"/>
      <c r="Z312" s="64"/>
      <c r="AA312" s="64"/>
      <c r="AB312" s="25"/>
      <c r="AC312" s="23"/>
      <c r="AD312" s="23"/>
      <c r="AE312" s="23"/>
      <c r="AF312" s="335"/>
      <c r="AG312" s="336"/>
      <c r="AH312" s="334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</row>
    <row r="313" spans="1:346" s="26" customFormat="1" ht="12" hidden="1" customHeight="1" x14ac:dyDescent="0.25">
      <c r="A313" s="21"/>
      <c r="B313" s="21"/>
      <c r="C313" s="22"/>
      <c r="D313" s="353"/>
      <c r="E313" s="73"/>
      <c r="F313" s="7"/>
      <c r="G313" s="7"/>
      <c r="H313" s="7"/>
      <c r="I313" s="180"/>
      <c r="J313" s="180"/>
      <c r="K313" s="284"/>
      <c r="L313" s="193"/>
      <c r="M313" s="180"/>
      <c r="N313" s="180"/>
      <c r="O313" s="180"/>
      <c r="P313" s="180"/>
      <c r="Q313" s="180"/>
      <c r="R313" s="180"/>
      <c r="S313" s="24"/>
      <c r="T313" s="182"/>
      <c r="U313" s="24"/>
      <c r="V313" s="32"/>
      <c r="W313" s="240"/>
      <c r="X313" s="64"/>
      <c r="Y313" s="75"/>
      <c r="Z313" s="64"/>
      <c r="AA313" s="64"/>
      <c r="AB313" s="25"/>
      <c r="AC313" s="23"/>
      <c r="AD313" s="23"/>
      <c r="AE313" s="23"/>
      <c r="AF313" s="335"/>
      <c r="AG313" s="336"/>
      <c r="AH313" s="334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</row>
    <row r="314" spans="1:346" s="26" customFormat="1" ht="12" hidden="1" customHeight="1" x14ac:dyDescent="0.25">
      <c r="A314" s="21"/>
      <c r="B314" s="21"/>
      <c r="C314" s="22"/>
      <c r="D314" s="353"/>
      <c r="E314" s="73"/>
      <c r="F314" s="7"/>
      <c r="G314" s="7"/>
      <c r="H314" s="7"/>
      <c r="I314" s="180"/>
      <c r="J314" s="180"/>
      <c r="K314" s="284"/>
      <c r="L314" s="193"/>
      <c r="M314" s="180"/>
      <c r="N314" s="180"/>
      <c r="O314" s="180"/>
      <c r="P314" s="180"/>
      <c r="Q314" s="180"/>
      <c r="R314" s="180"/>
      <c r="S314" s="24"/>
      <c r="T314" s="182"/>
      <c r="U314" s="24"/>
      <c r="V314" s="32"/>
      <c r="W314" s="240"/>
      <c r="X314" s="64"/>
      <c r="Y314" s="75"/>
      <c r="Z314" s="64"/>
      <c r="AA314" s="64"/>
      <c r="AB314" s="25"/>
      <c r="AC314" s="23"/>
      <c r="AD314" s="23"/>
      <c r="AE314" s="23"/>
      <c r="AF314" s="335"/>
      <c r="AG314" s="336"/>
      <c r="AH314" s="334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</row>
    <row r="315" spans="1:346" s="26" customFormat="1" ht="12" hidden="1" customHeight="1" x14ac:dyDescent="0.25">
      <c r="A315" s="21"/>
      <c r="B315" s="21"/>
      <c r="C315" s="22"/>
      <c r="D315" s="353"/>
      <c r="E315" s="73"/>
      <c r="F315" s="7"/>
      <c r="G315" s="7"/>
      <c r="H315" s="7"/>
      <c r="I315" s="180"/>
      <c r="J315" s="180"/>
      <c r="K315" s="284"/>
      <c r="L315" s="193"/>
      <c r="M315" s="180"/>
      <c r="N315" s="180"/>
      <c r="O315" s="180"/>
      <c r="P315" s="180"/>
      <c r="Q315" s="180"/>
      <c r="R315" s="180"/>
      <c r="S315" s="24"/>
      <c r="T315" s="182"/>
      <c r="U315" s="24"/>
      <c r="V315" s="32"/>
      <c r="W315" s="240"/>
      <c r="X315" s="64"/>
      <c r="Y315" s="75"/>
      <c r="Z315" s="64"/>
      <c r="AA315" s="64"/>
      <c r="AB315" s="25"/>
      <c r="AC315" s="23"/>
      <c r="AD315" s="23"/>
      <c r="AE315" s="23"/>
      <c r="AF315" s="335"/>
      <c r="AG315" s="336"/>
      <c r="AH315" s="334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</row>
    <row r="316" spans="1:346" s="26" customFormat="1" ht="12" hidden="1" customHeight="1" x14ac:dyDescent="0.25">
      <c r="A316" s="21"/>
      <c r="B316" s="21"/>
      <c r="C316" s="22"/>
      <c r="D316" s="353"/>
      <c r="E316" s="73"/>
      <c r="F316" s="7"/>
      <c r="G316" s="7"/>
      <c r="H316" s="7"/>
      <c r="I316" s="180"/>
      <c r="J316" s="180"/>
      <c r="K316" s="284"/>
      <c r="L316" s="193"/>
      <c r="M316" s="180"/>
      <c r="N316" s="180"/>
      <c r="O316" s="180"/>
      <c r="P316" s="180"/>
      <c r="Q316" s="180"/>
      <c r="R316" s="180"/>
      <c r="S316" s="24"/>
      <c r="T316" s="182"/>
      <c r="U316" s="24"/>
      <c r="V316" s="32"/>
      <c r="W316" s="240"/>
      <c r="X316" s="64"/>
      <c r="Y316" s="75"/>
      <c r="Z316" s="64"/>
      <c r="AA316" s="64"/>
      <c r="AB316" s="25"/>
      <c r="AC316" s="23"/>
      <c r="AD316" s="23"/>
      <c r="AE316" s="23"/>
      <c r="AF316" s="335"/>
      <c r="AG316" s="336"/>
      <c r="AH316" s="334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</row>
    <row r="317" spans="1:346" s="26" customFormat="1" ht="12" hidden="1" customHeight="1" x14ac:dyDescent="0.25">
      <c r="A317" s="21"/>
      <c r="B317" s="21"/>
      <c r="C317" s="22"/>
      <c r="D317" s="353"/>
      <c r="E317" s="73"/>
      <c r="F317" s="7"/>
      <c r="G317" s="7"/>
      <c r="H317" s="7"/>
      <c r="I317" s="180"/>
      <c r="J317" s="180"/>
      <c r="K317" s="284"/>
      <c r="L317" s="193"/>
      <c r="M317" s="180"/>
      <c r="N317" s="180"/>
      <c r="O317" s="180"/>
      <c r="P317" s="180"/>
      <c r="Q317" s="180"/>
      <c r="R317" s="180"/>
      <c r="S317" s="24"/>
      <c r="T317" s="182"/>
      <c r="U317" s="24"/>
      <c r="V317" s="32"/>
      <c r="W317" s="240"/>
      <c r="X317" s="64"/>
      <c r="Y317" s="75"/>
      <c r="Z317" s="64"/>
      <c r="AA317" s="64"/>
      <c r="AB317" s="25"/>
      <c r="AC317" s="23"/>
      <c r="AD317" s="23"/>
      <c r="AE317" s="23"/>
      <c r="AF317" s="335"/>
      <c r="AG317" s="336"/>
      <c r="AH317" s="334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</row>
    <row r="318" spans="1:346" s="26" customFormat="1" ht="12" hidden="1" customHeight="1" x14ac:dyDescent="0.25">
      <c r="A318" s="21"/>
      <c r="B318" s="21"/>
      <c r="C318" s="22"/>
      <c r="D318" s="353"/>
      <c r="E318" s="73"/>
      <c r="F318" s="7"/>
      <c r="G318" s="7"/>
      <c r="H318" s="7"/>
      <c r="I318" s="180"/>
      <c r="J318" s="180"/>
      <c r="K318" s="284"/>
      <c r="L318" s="193"/>
      <c r="M318" s="180"/>
      <c r="N318" s="180"/>
      <c r="O318" s="180"/>
      <c r="P318" s="180"/>
      <c r="Q318" s="180"/>
      <c r="R318" s="180"/>
      <c r="S318" s="24"/>
      <c r="T318" s="182"/>
      <c r="U318" s="24"/>
      <c r="V318" s="32"/>
      <c r="W318" s="240"/>
      <c r="X318" s="64"/>
      <c r="Y318" s="75"/>
      <c r="Z318" s="64"/>
      <c r="AA318" s="64"/>
      <c r="AB318" s="25"/>
      <c r="AC318" s="23"/>
      <c r="AD318" s="23"/>
      <c r="AE318" s="23"/>
      <c r="AF318" s="335"/>
      <c r="AG318" s="336"/>
      <c r="AH318" s="334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</row>
    <row r="319" spans="1:346" s="26" customFormat="1" ht="12" hidden="1" customHeight="1" x14ac:dyDescent="0.25">
      <c r="A319" s="21"/>
      <c r="B319" s="21"/>
      <c r="C319" s="22"/>
      <c r="D319" s="353"/>
      <c r="E319" s="73"/>
      <c r="F319" s="7"/>
      <c r="G319" s="7"/>
      <c r="H319" s="7"/>
      <c r="I319" s="180"/>
      <c r="J319" s="180"/>
      <c r="K319" s="284"/>
      <c r="L319" s="193"/>
      <c r="M319" s="180"/>
      <c r="N319" s="180"/>
      <c r="O319" s="180"/>
      <c r="P319" s="180"/>
      <c r="Q319" s="180"/>
      <c r="R319" s="180"/>
      <c r="S319" s="24"/>
      <c r="T319" s="182"/>
      <c r="U319" s="24"/>
      <c r="V319" s="32"/>
      <c r="W319" s="240"/>
      <c r="X319" s="64"/>
      <c r="Y319" s="75"/>
      <c r="Z319" s="64"/>
      <c r="AA319" s="64"/>
      <c r="AB319" s="25"/>
      <c r="AC319" s="23"/>
      <c r="AD319" s="23"/>
      <c r="AE319" s="23"/>
      <c r="AF319" s="335"/>
      <c r="AG319" s="336"/>
      <c r="AH319" s="334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</row>
    <row r="320" spans="1:346" s="26" customFormat="1" ht="12" hidden="1" customHeight="1" x14ac:dyDescent="0.25">
      <c r="A320" s="21"/>
      <c r="B320" s="21"/>
      <c r="C320" s="22"/>
      <c r="D320" s="353"/>
      <c r="E320" s="73"/>
      <c r="F320" s="7"/>
      <c r="G320" s="7"/>
      <c r="H320" s="7"/>
      <c r="I320" s="180"/>
      <c r="J320" s="180"/>
      <c r="K320" s="284"/>
      <c r="L320" s="193"/>
      <c r="M320" s="180"/>
      <c r="N320" s="180"/>
      <c r="O320" s="180"/>
      <c r="P320" s="180"/>
      <c r="Q320" s="180"/>
      <c r="R320" s="180"/>
      <c r="S320" s="24"/>
      <c r="T320" s="182"/>
      <c r="U320" s="24"/>
      <c r="V320" s="32"/>
      <c r="W320" s="240"/>
      <c r="X320" s="64"/>
      <c r="Y320" s="75"/>
      <c r="Z320" s="64"/>
      <c r="AA320" s="64"/>
      <c r="AB320" s="25"/>
      <c r="AC320" s="23"/>
      <c r="AD320" s="23"/>
      <c r="AE320" s="23"/>
      <c r="AF320" s="335"/>
      <c r="AG320" s="336"/>
      <c r="AH320" s="334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</row>
    <row r="321" spans="1:346" s="26" customFormat="1" ht="12" hidden="1" customHeight="1" x14ac:dyDescent="0.25">
      <c r="A321" s="21"/>
      <c r="B321" s="21"/>
      <c r="C321" s="22"/>
      <c r="D321" s="353"/>
      <c r="E321" s="73"/>
      <c r="F321" s="7"/>
      <c r="G321" s="7"/>
      <c r="H321" s="7"/>
      <c r="I321" s="180"/>
      <c r="J321" s="180"/>
      <c r="K321" s="284"/>
      <c r="L321" s="193"/>
      <c r="M321" s="180"/>
      <c r="N321" s="180"/>
      <c r="O321" s="180"/>
      <c r="P321" s="180"/>
      <c r="Q321" s="180"/>
      <c r="R321" s="180"/>
      <c r="S321" s="24"/>
      <c r="T321" s="182"/>
      <c r="U321" s="24"/>
      <c r="V321" s="32"/>
      <c r="W321" s="240"/>
      <c r="X321" s="64"/>
      <c r="Y321" s="75"/>
      <c r="Z321" s="64"/>
      <c r="AA321" s="64"/>
      <c r="AB321" s="25"/>
      <c r="AC321" s="23"/>
      <c r="AD321" s="23"/>
      <c r="AE321" s="23"/>
      <c r="AF321" s="335"/>
      <c r="AG321" s="336"/>
      <c r="AH321" s="334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</row>
    <row r="322" spans="1:346" s="26" customFormat="1" ht="12" hidden="1" customHeight="1" x14ac:dyDescent="0.25">
      <c r="A322" s="21"/>
      <c r="B322" s="21"/>
      <c r="C322" s="22"/>
      <c r="D322" s="353"/>
      <c r="E322" s="73"/>
      <c r="F322" s="7"/>
      <c r="G322" s="7"/>
      <c r="H322" s="7"/>
      <c r="I322" s="180"/>
      <c r="J322" s="180"/>
      <c r="K322" s="284"/>
      <c r="L322" s="193"/>
      <c r="M322" s="180"/>
      <c r="N322" s="180"/>
      <c r="O322" s="180"/>
      <c r="P322" s="180"/>
      <c r="Q322" s="180"/>
      <c r="R322" s="180"/>
      <c r="S322" s="24"/>
      <c r="T322" s="182"/>
      <c r="U322" s="24"/>
      <c r="V322" s="32"/>
      <c r="W322" s="240"/>
      <c r="X322" s="64"/>
      <c r="Y322" s="75"/>
      <c r="Z322" s="64"/>
      <c r="AA322" s="64"/>
      <c r="AB322" s="25"/>
      <c r="AC322" s="23"/>
      <c r="AD322" s="23"/>
      <c r="AE322" s="23"/>
      <c r="AF322" s="335"/>
      <c r="AG322" s="336"/>
      <c r="AH322" s="334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</row>
    <row r="323" spans="1:346" s="26" customFormat="1" ht="12" hidden="1" customHeight="1" x14ac:dyDescent="0.25">
      <c r="A323" s="21"/>
      <c r="B323" s="21"/>
      <c r="C323" s="22"/>
      <c r="D323" s="353"/>
      <c r="E323" s="73"/>
      <c r="F323" s="7"/>
      <c r="G323" s="7"/>
      <c r="H323" s="7"/>
      <c r="I323" s="180"/>
      <c r="J323" s="180"/>
      <c r="K323" s="284"/>
      <c r="L323" s="193"/>
      <c r="M323" s="180"/>
      <c r="N323" s="180"/>
      <c r="O323" s="180"/>
      <c r="P323" s="180"/>
      <c r="Q323" s="180"/>
      <c r="R323" s="180"/>
      <c r="S323" s="24"/>
      <c r="T323" s="182"/>
      <c r="U323" s="24"/>
      <c r="V323" s="32"/>
      <c r="W323" s="240"/>
      <c r="X323" s="64"/>
      <c r="Y323" s="75"/>
      <c r="Z323" s="64"/>
      <c r="AA323" s="64"/>
      <c r="AB323" s="25"/>
      <c r="AC323" s="23"/>
      <c r="AD323" s="23"/>
      <c r="AE323" s="23"/>
      <c r="AF323" s="335"/>
      <c r="AG323" s="336"/>
      <c r="AH323" s="334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</row>
    <row r="324" spans="1:346" s="26" customFormat="1" ht="12" hidden="1" customHeight="1" x14ac:dyDescent="0.25">
      <c r="A324" s="21"/>
      <c r="B324" s="21"/>
      <c r="C324" s="22"/>
      <c r="D324" s="353"/>
      <c r="E324" s="73"/>
      <c r="F324" s="7"/>
      <c r="G324" s="7"/>
      <c r="H324" s="7"/>
      <c r="I324" s="180"/>
      <c r="J324" s="180"/>
      <c r="K324" s="284"/>
      <c r="L324" s="193"/>
      <c r="M324" s="180"/>
      <c r="N324" s="180"/>
      <c r="O324" s="180"/>
      <c r="P324" s="180"/>
      <c r="Q324" s="180"/>
      <c r="R324" s="180"/>
      <c r="S324" s="24"/>
      <c r="T324" s="182"/>
      <c r="U324" s="24"/>
      <c r="V324" s="32"/>
      <c r="W324" s="240"/>
      <c r="X324" s="64"/>
      <c r="Y324" s="75"/>
      <c r="Z324" s="64"/>
      <c r="AA324" s="64"/>
      <c r="AB324" s="25"/>
      <c r="AC324" s="23"/>
      <c r="AD324" s="23"/>
      <c r="AE324" s="23"/>
      <c r="AF324" s="335"/>
      <c r="AG324" s="336"/>
      <c r="AH324" s="334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</row>
    <row r="325" spans="1:346" s="26" customFormat="1" ht="12" hidden="1" customHeight="1" x14ac:dyDescent="0.25">
      <c r="A325" s="21"/>
      <c r="B325" s="21"/>
      <c r="C325" s="22"/>
      <c r="D325" s="353"/>
      <c r="E325" s="73"/>
      <c r="F325" s="7"/>
      <c r="G325" s="7"/>
      <c r="H325" s="7"/>
      <c r="I325" s="180"/>
      <c r="J325" s="180"/>
      <c r="K325" s="284"/>
      <c r="L325" s="193"/>
      <c r="M325" s="180"/>
      <c r="N325" s="180"/>
      <c r="O325" s="180"/>
      <c r="P325" s="180"/>
      <c r="Q325" s="180"/>
      <c r="R325" s="180"/>
      <c r="S325" s="24"/>
      <c r="T325" s="182"/>
      <c r="U325" s="24"/>
      <c r="V325" s="32"/>
      <c r="W325" s="240"/>
      <c r="X325" s="64"/>
      <c r="Y325" s="75"/>
      <c r="Z325" s="64"/>
      <c r="AA325" s="64"/>
      <c r="AB325" s="25"/>
      <c r="AC325" s="23"/>
      <c r="AD325" s="23"/>
      <c r="AE325" s="23"/>
      <c r="AF325" s="335"/>
      <c r="AG325" s="336"/>
      <c r="AH325" s="334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</row>
    <row r="326" spans="1:346" s="26" customFormat="1" ht="12" hidden="1" customHeight="1" x14ac:dyDescent="0.25">
      <c r="A326" s="21"/>
      <c r="B326" s="21"/>
      <c r="C326" s="22"/>
      <c r="D326" s="353"/>
      <c r="E326" s="73"/>
      <c r="F326" s="7"/>
      <c r="G326" s="7"/>
      <c r="H326" s="7"/>
      <c r="I326" s="180"/>
      <c r="J326" s="180"/>
      <c r="K326" s="284"/>
      <c r="L326" s="193"/>
      <c r="M326" s="180"/>
      <c r="N326" s="180"/>
      <c r="O326" s="180"/>
      <c r="P326" s="180"/>
      <c r="Q326" s="180"/>
      <c r="R326" s="180"/>
      <c r="S326" s="24"/>
      <c r="T326" s="182"/>
      <c r="U326" s="24"/>
      <c r="V326" s="32"/>
      <c r="W326" s="240"/>
      <c r="X326" s="64"/>
      <c r="Y326" s="75"/>
      <c r="Z326" s="64"/>
      <c r="AA326" s="64"/>
      <c r="AB326" s="25"/>
      <c r="AC326" s="23"/>
      <c r="AD326" s="23"/>
      <c r="AE326" s="23"/>
      <c r="AF326" s="335"/>
      <c r="AG326" s="336"/>
      <c r="AH326" s="334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</row>
    <row r="327" spans="1:346" s="26" customFormat="1" ht="12" hidden="1" customHeight="1" x14ac:dyDescent="0.25">
      <c r="A327" s="21"/>
      <c r="B327" s="21"/>
      <c r="C327" s="22"/>
      <c r="D327" s="353"/>
      <c r="E327" s="73"/>
      <c r="F327" s="7"/>
      <c r="G327" s="7"/>
      <c r="H327" s="7"/>
      <c r="I327" s="180"/>
      <c r="J327" s="180"/>
      <c r="K327" s="284"/>
      <c r="L327" s="193"/>
      <c r="M327" s="180"/>
      <c r="N327" s="180"/>
      <c r="O327" s="180"/>
      <c r="P327" s="180"/>
      <c r="Q327" s="180"/>
      <c r="R327" s="180"/>
      <c r="S327" s="24"/>
      <c r="T327" s="182"/>
      <c r="U327" s="24"/>
      <c r="V327" s="32"/>
      <c r="W327" s="240"/>
      <c r="X327" s="64"/>
      <c r="Y327" s="75"/>
      <c r="Z327" s="64"/>
      <c r="AA327" s="64"/>
      <c r="AB327" s="25"/>
      <c r="AC327" s="23"/>
      <c r="AD327" s="23"/>
      <c r="AE327" s="23"/>
      <c r="AF327" s="335"/>
      <c r="AG327" s="336"/>
      <c r="AH327" s="334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</row>
    <row r="328" spans="1:346" s="26" customFormat="1" ht="12" hidden="1" customHeight="1" x14ac:dyDescent="0.25">
      <c r="A328" s="21"/>
      <c r="B328" s="21"/>
      <c r="C328" s="22"/>
      <c r="D328" s="353"/>
      <c r="E328" s="73"/>
      <c r="F328" s="7"/>
      <c r="G328" s="7"/>
      <c r="H328" s="7"/>
      <c r="I328" s="180"/>
      <c r="J328" s="180"/>
      <c r="K328" s="284"/>
      <c r="L328" s="193"/>
      <c r="M328" s="180"/>
      <c r="N328" s="180"/>
      <c r="O328" s="180"/>
      <c r="P328" s="180"/>
      <c r="Q328" s="180"/>
      <c r="R328" s="180"/>
      <c r="S328" s="24"/>
      <c r="T328" s="182"/>
      <c r="U328" s="24"/>
      <c r="V328" s="32"/>
      <c r="W328" s="240"/>
      <c r="X328" s="64"/>
      <c r="Y328" s="75"/>
      <c r="Z328" s="64"/>
      <c r="AA328" s="64"/>
      <c r="AB328" s="25"/>
      <c r="AC328" s="23"/>
      <c r="AD328" s="23"/>
      <c r="AE328" s="23"/>
      <c r="AF328" s="335"/>
      <c r="AG328" s="336"/>
      <c r="AH328" s="334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</row>
    <row r="329" spans="1:346" s="26" customFormat="1" ht="12" hidden="1" customHeight="1" x14ac:dyDescent="0.25">
      <c r="A329" s="21"/>
      <c r="B329" s="21"/>
      <c r="C329" s="22"/>
      <c r="D329" s="353"/>
      <c r="E329" s="73"/>
      <c r="F329" s="7"/>
      <c r="G329" s="7"/>
      <c r="H329" s="7"/>
      <c r="I329" s="180"/>
      <c r="J329" s="180"/>
      <c r="K329" s="284"/>
      <c r="L329" s="193"/>
      <c r="M329" s="180"/>
      <c r="N329" s="180"/>
      <c r="O329" s="180"/>
      <c r="P329" s="180"/>
      <c r="Q329" s="180"/>
      <c r="R329" s="180"/>
      <c r="S329" s="24"/>
      <c r="T329" s="182"/>
      <c r="U329" s="24"/>
      <c r="V329" s="32"/>
      <c r="W329" s="240"/>
      <c r="X329" s="64"/>
      <c r="Y329" s="75"/>
      <c r="Z329" s="64"/>
      <c r="AA329" s="64"/>
      <c r="AB329" s="25"/>
      <c r="AC329" s="23"/>
      <c r="AD329" s="23"/>
      <c r="AE329" s="23"/>
      <c r="AF329" s="335"/>
      <c r="AG329" s="336"/>
      <c r="AH329" s="334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</row>
    <row r="330" spans="1:346" s="26" customFormat="1" ht="12" hidden="1" customHeight="1" x14ac:dyDescent="0.25">
      <c r="A330" s="21"/>
      <c r="B330" s="21"/>
      <c r="C330" s="22"/>
      <c r="D330" s="353"/>
      <c r="E330" s="73"/>
      <c r="F330" s="7"/>
      <c r="G330" s="7"/>
      <c r="H330" s="7"/>
      <c r="I330" s="180"/>
      <c r="J330" s="180"/>
      <c r="K330" s="284"/>
      <c r="L330" s="193"/>
      <c r="M330" s="180"/>
      <c r="N330" s="180"/>
      <c r="O330" s="180"/>
      <c r="P330" s="180"/>
      <c r="Q330" s="180"/>
      <c r="R330" s="180"/>
      <c r="S330" s="24"/>
      <c r="T330" s="182"/>
      <c r="U330" s="24"/>
      <c r="V330" s="32"/>
      <c r="W330" s="240"/>
      <c r="X330" s="64"/>
      <c r="Y330" s="75"/>
      <c r="Z330" s="64"/>
      <c r="AA330" s="64"/>
      <c r="AB330" s="25"/>
      <c r="AC330" s="23"/>
      <c r="AD330" s="23"/>
      <c r="AE330" s="23"/>
      <c r="AF330" s="335"/>
      <c r="AG330" s="336"/>
      <c r="AH330" s="334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</row>
    <row r="331" spans="1:346" s="26" customFormat="1" ht="12" hidden="1" customHeight="1" x14ac:dyDescent="0.25">
      <c r="A331" s="21"/>
      <c r="B331" s="21"/>
      <c r="C331" s="22"/>
      <c r="D331" s="353"/>
      <c r="E331" s="73"/>
      <c r="F331" s="7"/>
      <c r="G331" s="7"/>
      <c r="H331" s="7"/>
      <c r="I331" s="180"/>
      <c r="J331" s="180"/>
      <c r="K331" s="284"/>
      <c r="L331" s="193"/>
      <c r="M331" s="180"/>
      <c r="N331" s="180"/>
      <c r="O331" s="180"/>
      <c r="P331" s="180"/>
      <c r="Q331" s="180"/>
      <c r="R331" s="180"/>
      <c r="S331" s="24"/>
      <c r="T331" s="182"/>
      <c r="U331" s="24"/>
      <c r="V331" s="32"/>
      <c r="W331" s="240"/>
      <c r="X331" s="64"/>
      <c r="Y331" s="75"/>
      <c r="Z331" s="64"/>
      <c r="AA331" s="64"/>
      <c r="AB331" s="25"/>
      <c r="AC331" s="23"/>
      <c r="AD331" s="23"/>
      <c r="AE331" s="23"/>
      <c r="AF331" s="335"/>
      <c r="AG331" s="336"/>
      <c r="AH331" s="334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</row>
    <row r="332" spans="1:346" s="26" customFormat="1" ht="12" hidden="1" customHeight="1" x14ac:dyDescent="0.25">
      <c r="A332" s="21"/>
      <c r="B332" s="21"/>
      <c r="C332" s="22"/>
      <c r="D332" s="353"/>
      <c r="E332" s="73"/>
      <c r="F332" s="7"/>
      <c r="G332" s="7"/>
      <c r="H332" s="7"/>
      <c r="I332" s="180"/>
      <c r="J332" s="180"/>
      <c r="K332" s="284"/>
      <c r="L332" s="193"/>
      <c r="M332" s="180"/>
      <c r="N332" s="180"/>
      <c r="O332" s="180"/>
      <c r="P332" s="180"/>
      <c r="Q332" s="180"/>
      <c r="R332" s="180"/>
      <c r="S332" s="24"/>
      <c r="T332" s="182"/>
      <c r="U332" s="24"/>
      <c r="V332" s="32"/>
      <c r="W332" s="240"/>
      <c r="X332" s="64"/>
      <c r="Y332" s="75"/>
      <c r="Z332" s="64"/>
      <c r="AA332" s="64"/>
      <c r="AB332" s="25"/>
      <c r="AC332" s="23"/>
      <c r="AD332" s="23"/>
      <c r="AE332" s="23"/>
      <c r="AF332" s="335"/>
      <c r="AG332" s="336"/>
      <c r="AH332" s="334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</row>
    <row r="333" spans="1:346" s="26" customFormat="1" ht="12" hidden="1" customHeight="1" x14ac:dyDescent="0.25">
      <c r="A333" s="21"/>
      <c r="B333" s="21"/>
      <c r="C333" s="22"/>
      <c r="D333" s="353"/>
      <c r="E333" s="73"/>
      <c r="F333" s="7"/>
      <c r="G333" s="7"/>
      <c r="H333" s="7"/>
      <c r="I333" s="180"/>
      <c r="J333" s="180"/>
      <c r="K333" s="284"/>
      <c r="L333" s="193"/>
      <c r="M333" s="180"/>
      <c r="N333" s="180"/>
      <c r="O333" s="180"/>
      <c r="P333" s="180"/>
      <c r="Q333" s="180"/>
      <c r="R333" s="180"/>
      <c r="S333" s="24"/>
      <c r="T333" s="182"/>
      <c r="U333" s="24"/>
      <c r="V333" s="32"/>
      <c r="W333" s="240"/>
      <c r="X333" s="64"/>
      <c r="Y333" s="75"/>
      <c r="Z333" s="64"/>
      <c r="AA333" s="64"/>
      <c r="AB333" s="25"/>
      <c r="AC333" s="23"/>
      <c r="AD333" s="23"/>
      <c r="AE333" s="23"/>
      <c r="AF333" s="335"/>
      <c r="AG333" s="336"/>
      <c r="AH333" s="334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</row>
    <row r="334" spans="1:346" s="26" customFormat="1" ht="12" hidden="1" customHeight="1" x14ac:dyDescent="0.25">
      <c r="A334" s="21"/>
      <c r="B334" s="21"/>
      <c r="C334" s="22"/>
      <c r="D334" s="353"/>
      <c r="E334" s="73"/>
      <c r="F334" s="7"/>
      <c r="G334" s="7"/>
      <c r="H334" s="7"/>
      <c r="I334" s="180"/>
      <c r="J334" s="180"/>
      <c r="K334" s="284"/>
      <c r="L334" s="193"/>
      <c r="M334" s="180"/>
      <c r="N334" s="180"/>
      <c r="O334" s="180"/>
      <c r="P334" s="180"/>
      <c r="Q334" s="180"/>
      <c r="R334" s="180"/>
      <c r="S334" s="24"/>
      <c r="T334" s="182"/>
      <c r="U334" s="24"/>
      <c r="V334" s="32"/>
      <c r="W334" s="240"/>
      <c r="X334" s="64"/>
      <c r="Y334" s="75"/>
      <c r="Z334" s="64"/>
      <c r="AA334" s="64"/>
      <c r="AB334" s="25"/>
      <c r="AC334" s="23"/>
      <c r="AD334" s="23"/>
      <c r="AE334" s="23"/>
      <c r="AF334" s="335"/>
      <c r="AG334" s="336"/>
      <c r="AH334" s="334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</row>
    <row r="335" spans="1:346" s="26" customFormat="1" ht="12" hidden="1" customHeight="1" x14ac:dyDescent="0.25">
      <c r="A335" s="21"/>
      <c r="B335" s="21"/>
      <c r="C335" s="22"/>
      <c r="D335" s="353"/>
      <c r="E335" s="73"/>
      <c r="F335" s="7"/>
      <c r="G335" s="7"/>
      <c r="H335" s="7"/>
      <c r="I335" s="180"/>
      <c r="J335" s="180"/>
      <c r="K335" s="284"/>
      <c r="L335" s="193"/>
      <c r="M335" s="180"/>
      <c r="N335" s="180"/>
      <c r="O335" s="180"/>
      <c r="P335" s="180"/>
      <c r="Q335" s="180"/>
      <c r="R335" s="180"/>
      <c r="S335" s="24"/>
      <c r="T335" s="182"/>
      <c r="U335" s="24"/>
      <c r="V335" s="32"/>
      <c r="W335" s="240"/>
      <c r="X335" s="64"/>
      <c r="Y335" s="75"/>
      <c r="Z335" s="64"/>
      <c r="AA335" s="64"/>
      <c r="AB335" s="25"/>
      <c r="AC335" s="23"/>
      <c r="AD335" s="23"/>
      <c r="AE335" s="23"/>
      <c r="AF335" s="335"/>
      <c r="AG335" s="336"/>
      <c r="AH335" s="334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</row>
    <row r="336" spans="1:346" s="26" customFormat="1" ht="12" hidden="1" customHeight="1" x14ac:dyDescent="0.25">
      <c r="A336" s="21"/>
      <c r="B336" s="21"/>
      <c r="C336" s="22"/>
      <c r="D336" s="353"/>
      <c r="E336" s="73"/>
      <c r="F336" s="7"/>
      <c r="G336" s="7"/>
      <c r="H336" s="7"/>
      <c r="I336" s="180"/>
      <c r="J336" s="180"/>
      <c r="K336" s="284"/>
      <c r="L336" s="193"/>
      <c r="M336" s="180"/>
      <c r="N336" s="180"/>
      <c r="O336" s="180"/>
      <c r="P336" s="180"/>
      <c r="Q336" s="180"/>
      <c r="R336" s="180"/>
      <c r="S336" s="24"/>
      <c r="T336" s="182"/>
      <c r="U336" s="24"/>
      <c r="V336" s="32"/>
      <c r="W336" s="240"/>
      <c r="X336" s="64"/>
      <c r="Y336" s="75"/>
      <c r="Z336" s="64"/>
      <c r="AA336" s="64"/>
      <c r="AB336" s="25"/>
      <c r="AC336" s="23"/>
      <c r="AD336" s="23"/>
      <c r="AE336" s="23"/>
      <c r="AF336" s="335"/>
      <c r="AG336" s="336"/>
      <c r="AH336" s="334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</row>
    <row r="337" spans="1:346" s="26" customFormat="1" ht="12" hidden="1" customHeight="1" x14ac:dyDescent="0.25">
      <c r="A337" s="21"/>
      <c r="B337" s="21"/>
      <c r="C337" s="22"/>
      <c r="D337" s="353"/>
      <c r="E337" s="73"/>
      <c r="F337" s="7"/>
      <c r="G337" s="7"/>
      <c r="H337" s="7"/>
      <c r="I337" s="180"/>
      <c r="J337" s="180"/>
      <c r="K337" s="284"/>
      <c r="L337" s="193"/>
      <c r="M337" s="180"/>
      <c r="N337" s="180"/>
      <c r="O337" s="180"/>
      <c r="P337" s="180"/>
      <c r="Q337" s="180"/>
      <c r="R337" s="180"/>
      <c r="S337" s="24"/>
      <c r="T337" s="182"/>
      <c r="U337" s="24"/>
      <c r="V337" s="32"/>
      <c r="W337" s="240"/>
      <c r="X337" s="64"/>
      <c r="Y337" s="75"/>
      <c r="Z337" s="64"/>
      <c r="AA337" s="64"/>
      <c r="AB337" s="25"/>
      <c r="AC337" s="23"/>
      <c r="AD337" s="23"/>
      <c r="AE337" s="23"/>
      <c r="AF337" s="335"/>
      <c r="AG337" s="336"/>
      <c r="AH337" s="334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</row>
    <row r="338" spans="1:346" s="26" customFormat="1" ht="12" hidden="1" customHeight="1" x14ac:dyDescent="0.25">
      <c r="A338" s="21"/>
      <c r="B338" s="21"/>
      <c r="C338" s="22"/>
      <c r="D338" s="353"/>
      <c r="E338" s="73"/>
      <c r="F338" s="7"/>
      <c r="G338" s="7"/>
      <c r="H338" s="7"/>
      <c r="I338" s="180"/>
      <c r="J338" s="180"/>
      <c r="K338" s="284"/>
      <c r="L338" s="193"/>
      <c r="M338" s="180"/>
      <c r="N338" s="180"/>
      <c r="O338" s="180"/>
      <c r="P338" s="180"/>
      <c r="Q338" s="180"/>
      <c r="R338" s="180"/>
      <c r="S338" s="24"/>
      <c r="T338" s="182"/>
      <c r="U338" s="24"/>
      <c r="V338" s="32"/>
      <c r="W338" s="240"/>
      <c r="X338" s="64"/>
      <c r="Y338" s="75"/>
      <c r="Z338" s="64"/>
      <c r="AA338" s="64"/>
      <c r="AB338" s="25"/>
      <c r="AC338" s="23"/>
      <c r="AD338" s="23"/>
      <c r="AE338" s="23"/>
      <c r="AF338" s="335"/>
      <c r="AG338" s="336"/>
      <c r="AH338" s="334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</row>
    <row r="339" spans="1:346" s="26" customFormat="1" ht="12" hidden="1" customHeight="1" x14ac:dyDescent="0.25">
      <c r="A339" s="21"/>
      <c r="B339" s="21"/>
      <c r="C339" s="22"/>
      <c r="D339" s="353"/>
      <c r="E339" s="73"/>
      <c r="F339" s="7"/>
      <c r="G339" s="7"/>
      <c r="H339" s="7"/>
      <c r="I339" s="180"/>
      <c r="J339" s="180"/>
      <c r="K339" s="284"/>
      <c r="L339" s="193"/>
      <c r="M339" s="180"/>
      <c r="N339" s="180"/>
      <c r="O339" s="180"/>
      <c r="P339" s="180"/>
      <c r="Q339" s="180"/>
      <c r="R339" s="180"/>
      <c r="S339" s="24"/>
      <c r="T339" s="182"/>
      <c r="U339" s="24"/>
      <c r="V339" s="32"/>
      <c r="W339" s="240"/>
      <c r="X339" s="64"/>
      <c r="Y339" s="75"/>
      <c r="Z339" s="64"/>
      <c r="AA339" s="64"/>
      <c r="AB339" s="25"/>
      <c r="AC339" s="23"/>
      <c r="AD339" s="23"/>
      <c r="AE339" s="23"/>
      <c r="AF339" s="335"/>
      <c r="AG339" s="336"/>
      <c r="AH339" s="334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</row>
    <row r="340" spans="1:346" s="26" customFormat="1" ht="12" hidden="1" customHeight="1" x14ac:dyDescent="0.25">
      <c r="A340" s="21"/>
      <c r="B340" s="21"/>
      <c r="C340" s="22"/>
      <c r="D340" s="353"/>
      <c r="E340" s="73"/>
      <c r="F340" s="7"/>
      <c r="G340" s="7"/>
      <c r="H340" s="7"/>
      <c r="I340" s="180"/>
      <c r="J340" s="180"/>
      <c r="K340" s="284"/>
      <c r="L340" s="193"/>
      <c r="M340" s="180"/>
      <c r="N340" s="180"/>
      <c r="O340" s="180"/>
      <c r="P340" s="180"/>
      <c r="Q340" s="180"/>
      <c r="R340" s="180"/>
      <c r="S340" s="24"/>
      <c r="T340" s="182"/>
      <c r="U340" s="24"/>
      <c r="V340" s="32"/>
      <c r="W340" s="240"/>
      <c r="X340" s="64"/>
      <c r="Y340" s="75"/>
      <c r="Z340" s="64"/>
      <c r="AA340" s="64"/>
      <c r="AB340" s="25"/>
      <c r="AC340" s="23"/>
      <c r="AD340" s="23"/>
      <c r="AE340" s="23"/>
      <c r="AF340" s="335"/>
      <c r="AG340" s="336"/>
      <c r="AH340" s="334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</row>
    <row r="341" spans="1:346" s="26" customFormat="1" ht="12" hidden="1" customHeight="1" x14ac:dyDescent="0.25">
      <c r="A341" s="21"/>
      <c r="B341" s="21"/>
      <c r="C341" s="22"/>
      <c r="D341" s="353"/>
      <c r="E341" s="73"/>
      <c r="F341" s="7"/>
      <c r="G341" s="7"/>
      <c r="H341" s="7"/>
      <c r="I341" s="180"/>
      <c r="J341" s="180"/>
      <c r="K341" s="284"/>
      <c r="L341" s="193"/>
      <c r="M341" s="180"/>
      <c r="N341" s="180"/>
      <c r="O341" s="180"/>
      <c r="P341" s="180"/>
      <c r="Q341" s="180"/>
      <c r="R341" s="180"/>
      <c r="S341" s="24"/>
      <c r="T341" s="182"/>
      <c r="U341" s="24"/>
      <c r="V341" s="32"/>
      <c r="W341" s="240"/>
      <c r="X341" s="64"/>
      <c r="Y341" s="75"/>
      <c r="Z341" s="64"/>
      <c r="AA341" s="64"/>
      <c r="AB341" s="25"/>
      <c r="AC341" s="23"/>
      <c r="AD341" s="23"/>
      <c r="AE341" s="23"/>
      <c r="AF341" s="335"/>
      <c r="AG341" s="336"/>
      <c r="AH341" s="334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</row>
    <row r="342" spans="1:346" s="26" customFormat="1" ht="12" hidden="1" customHeight="1" x14ac:dyDescent="0.25">
      <c r="A342" s="21"/>
      <c r="B342" s="21"/>
      <c r="C342" s="22"/>
      <c r="D342" s="353"/>
      <c r="E342" s="73"/>
      <c r="F342" s="7"/>
      <c r="G342" s="7"/>
      <c r="H342" s="7"/>
      <c r="I342" s="180"/>
      <c r="J342" s="180"/>
      <c r="K342" s="284"/>
      <c r="L342" s="193"/>
      <c r="M342" s="180"/>
      <c r="N342" s="180"/>
      <c r="O342" s="180"/>
      <c r="P342" s="180"/>
      <c r="Q342" s="180"/>
      <c r="R342" s="180"/>
      <c r="S342" s="24"/>
      <c r="T342" s="182"/>
      <c r="U342" s="24"/>
      <c r="V342" s="32"/>
      <c r="W342" s="240"/>
      <c r="X342" s="64"/>
      <c r="Y342" s="75"/>
      <c r="Z342" s="64"/>
      <c r="AA342" s="64"/>
      <c r="AB342" s="25"/>
      <c r="AC342" s="23"/>
      <c r="AD342" s="23"/>
      <c r="AE342" s="23"/>
      <c r="AF342" s="335"/>
      <c r="AG342" s="336"/>
      <c r="AH342" s="334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</row>
    <row r="343" spans="1:346" s="26" customFormat="1" ht="12" hidden="1" customHeight="1" x14ac:dyDescent="0.25">
      <c r="A343" s="21"/>
      <c r="B343" s="21"/>
      <c r="C343" s="22"/>
      <c r="D343" s="353"/>
      <c r="E343" s="73"/>
      <c r="F343" s="7"/>
      <c r="G343" s="7"/>
      <c r="H343" s="7"/>
      <c r="I343" s="180"/>
      <c r="J343" s="180"/>
      <c r="K343" s="284"/>
      <c r="L343" s="193"/>
      <c r="M343" s="180"/>
      <c r="N343" s="180"/>
      <c r="O343" s="180"/>
      <c r="P343" s="180"/>
      <c r="Q343" s="180"/>
      <c r="R343" s="180"/>
      <c r="S343" s="24"/>
      <c r="T343" s="182"/>
      <c r="U343" s="24"/>
      <c r="V343" s="32"/>
      <c r="W343" s="240"/>
      <c r="X343" s="64"/>
      <c r="Y343" s="75"/>
      <c r="Z343" s="64"/>
      <c r="AA343" s="64"/>
      <c r="AB343" s="25"/>
      <c r="AC343" s="23"/>
      <c r="AD343" s="23"/>
      <c r="AE343" s="23"/>
      <c r="AF343" s="335"/>
      <c r="AG343" s="336"/>
      <c r="AH343" s="334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</row>
    <row r="344" spans="1:346" s="26" customFormat="1" ht="12" hidden="1" customHeight="1" x14ac:dyDescent="0.25">
      <c r="A344" s="21"/>
      <c r="B344" s="21"/>
      <c r="C344" s="22"/>
      <c r="D344" s="353"/>
      <c r="E344" s="73"/>
      <c r="F344" s="7"/>
      <c r="G344" s="7"/>
      <c r="H344" s="7"/>
      <c r="I344" s="180"/>
      <c r="J344" s="180"/>
      <c r="K344" s="284"/>
      <c r="L344" s="193"/>
      <c r="M344" s="180"/>
      <c r="N344" s="180"/>
      <c r="O344" s="180"/>
      <c r="P344" s="180"/>
      <c r="Q344" s="180"/>
      <c r="R344" s="180"/>
      <c r="S344" s="24"/>
      <c r="T344" s="182"/>
      <c r="U344" s="24"/>
      <c r="V344" s="32"/>
      <c r="W344" s="240"/>
      <c r="X344" s="64"/>
      <c r="Y344" s="75"/>
      <c r="Z344" s="64"/>
      <c r="AA344" s="64"/>
      <c r="AB344" s="25"/>
      <c r="AC344" s="23"/>
      <c r="AD344" s="23"/>
      <c r="AE344" s="23"/>
      <c r="AF344" s="335"/>
      <c r="AG344" s="336"/>
      <c r="AH344" s="334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</row>
    <row r="345" spans="1:346" s="26" customFormat="1" ht="12" hidden="1" customHeight="1" x14ac:dyDescent="0.25">
      <c r="A345" s="21"/>
      <c r="B345" s="21"/>
      <c r="C345" s="22"/>
      <c r="D345" s="353"/>
      <c r="E345" s="73"/>
      <c r="F345" s="7"/>
      <c r="G345" s="7"/>
      <c r="H345" s="7"/>
      <c r="I345" s="180"/>
      <c r="J345" s="180"/>
      <c r="K345" s="284"/>
      <c r="L345" s="193"/>
      <c r="M345" s="180"/>
      <c r="N345" s="180"/>
      <c r="O345" s="180"/>
      <c r="P345" s="180"/>
      <c r="Q345" s="180"/>
      <c r="R345" s="180"/>
      <c r="S345" s="24"/>
      <c r="T345" s="182"/>
      <c r="U345" s="24"/>
      <c r="V345" s="32"/>
      <c r="W345" s="240"/>
      <c r="X345" s="64"/>
      <c r="Y345" s="75"/>
      <c r="Z345" s="64"/>
      <c r="AA345" s="64"/>
      <c r="AB345" s="25"/>
      <c r="AC345" s="23"/>
      <c r="AD345" s="23"/>
      <c r="AE345" s="23"/>
      <c r="AF345" s="335"/>
      <c r="AG345" s="336"/>
      <c r="AH345" s="334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</row>
    <row r="346" spans="1:346" s="26" customFormat="1" ht="12" hidden="1" customHeight="1" x14ac:dyDescent="0.25">
      <c r="A346" s="21"/>
      <c r="B346" s="21"/>
      <c r="C346" s="22"/>
      <c r="D346" s="353"/>
      <c r="E346" s="73"/>
      <c r="F346" s="7"/>
      <c r="G346" s="7"/>
      <c r="H346" s="7"/>
      <c r="I346" s="180"/>
      <c r="J346" s="180"/>
      <c r="K346" s="284"/>
      <c r="L346" s="193"/>
      <c r="M346" s="180"/>
      <c r="N346" s="180"/>
      <c r="O346" s="180"/>
      <c r="P346" s="180"/>
      <c r="Q346" s="180"/>
      <c r="R346" s="180"/>
      <c r="S346" s="24"/>
      <c r="T346" s="182"/>
      <c r="U346" s="24"/>
      <c r="V346" s="32"/>
      <c r="W346" s="240"/>
      <c r="X346" s="64"/>
      <c r="Y346" s="75"/>
      <c r="Z346" s="64"/>
      <c r="AA346" s="64"/>
      <c r="AB346" s="25"/>
      <c r="AC346" s="23"/>
      <c r="AD346" s="23"/>
      <c r="AE346" s="23"/>
      <c r="AF346" s="335"/>
      <c r="AG346" s="336"/>
      <c r="AH346" s="334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</row>
    <row r="347" spans="1:346" s="26" customFormat="1" ht="12" hidden="1" customHeight="1" x14ac:dyDescent="0.25">
      <c r="A347" s="21"/>
      <c r="B347" s="21"/>
      <c r="C347" s="22"/>
      <c r="D347" s="353"/>
      <c r="E347" s="73"/>
      <c r="F347" s="7"/>
      <c r="G347" s="7"/>
      <c r="H347" s="7"/>
      <c r="I347" s="180"/>
      <c r="J347" s="180"/>
      <c r="K347" s="284"/>
      <c r="L347" s="193"/>
      <c r="M347" s="180"/>
      <c r="N347" s="180"/>
      <c r="O347" s="180"/>
      <c r="P347" s="180"/>
      <c r="Q347" s="180"/>
      <c r="R347" s="180"/>
      <c r="S347" s="24"/>
      <c r="T347" s="182"/>
      <c r="U347" s="24"/>
      <c r="V347" s="32"/>
      <c r="W347" s="240"/>
      <c r="X347" s="64"/>
      <c r="Y347" s="75"/>
      <c r="Z347" s="64"/>
      <c r="AA347" s="64"/>
      <c r="AB347" s="25"/>
      <c r="AC347" s="23"/>
      <c r="AD347" s="23"/>
      <c r="AE347" s="23"/>
      <c r="AF347" s="335"/>
      <c r="AG347" s="336"/>
      <c r="AH347" s="334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</row>
    <row r="348" spans="1:346" s="26" customFormat="1" ht="12" hidden="1" customHeight="1" x14ac:dyDescent="0.25">
      <c r="A348" s="21"/>
      <c r="B348" s="21"/>
      <c r="C348" s="22"/>
      <c r="D348" s="353"/>
      <c r="E348" s="73"/>
      <c r="F348" s="7"/>
      <c r="G348" s="7"/>
      <c r="H348" s="7"/>
      <c r="I348" s="180"/>
      <c r="J348" s="180"/>
      <c r="K348" s="284"/>
      <c r="L348" s="193"/>
      <c r="M348" s="180"/>
      <c r="N348" s="180"/>
      <c r="O348" s="180"/>
      <c r="P348" s="180"/>
      <c r="Q348" s="180"/>
      <c r="R348" s="180"/>
      <c r="S348" s="24"/>
      <c r="T348" s="182"/>
      <c r="U348" s="24"/>
      <c r="V348" s="32"/>
      <c r="W348" s="240"/>
      <c r="X348" s="64"/>
      <c r="Y348" s="75"/>
      <c r="Z348" s="64"/>
      <c r="AA348" s="64"/>
      <c r="AB348" s="25"/>
      <c r="AC348" s="23"/>
      <c r="AD348" s="23"/>
      <c r="AE348" s="23"/>
      <c r="AF348" s="335"/>
      <c r="AG348" s="336"/>
      <c r="AH348" s="334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</row>
    <row r="349" spans="1:346" s="26" customFormat="1" ht="12" hidden="1" customHeight="1" x14ac:dyDescent="0.25">
      <c r="A349" s="21"/>
      <c r="B349" s="21"/>
      <c r="C349" s="22"/>
      <c r="D349" s="353"/>
      <c r="E349" s="73"/>
      <c r="F349" s="7"/>
      <c r="G349" s="7"/>
      <c r="H349" s="7"/>
      <c r="I349" s="180"/>
      <c r="J349" s="180"/>
      <c r="K349" s="284"/>
      <c r="L349" s="193"/>
      <c r="M349" s="180"/>
      <c r="N349" s="180"/>
      <c r="O349" s="180"/>
      <c r="P349" s="180"/>
      <c r="Q349" s="180"/>
      <c r="R349" s="180"/>
      <c r="S349" s="24"/>
      <c r="T349" s="182"/>
      <c r="U349" s="24"/>
      <c r="V349" s="32"/>
      <c r="W349" s="240"/>
      <c r="X349" s="64"/>
      <c r="Y349" s="75"/>
      <c r="Z349" s="64"/>
      <c r="AA349" s="64"/>
      <c r="AB349" s="25"/>
      <c r="AC349" s="23"/>
      <c r="AD349" s="23"/>
      <c r="AE349" s="23"/>
      <c r="AF349" s="335"/>
      <c r="AG349" s="336"/>
      <c r="AH349" s="334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</row>
    <row r="350" spans="1:346" s="26" customFormat="1" ht="12" hidden="1" customHeight="1" x14ac:dyDescent="0.25">
      <c r="A350" s="21"/>
      <c r="B350" s="21"/>
      <c r="C350" s="22"/>
      <c r="D350" s="353"/>
      <c r="E350" s="73"/>
      <c r="F350" s="7"/>
      <c r="G350" s="7"/>
      <c r="H350" s="7"/>
      <c r="I350" s="180"/>
      <c r="J350" s="180"/>
      <c r="K350" s="284"/>
      <c r="L350" s="193"/>
      <c r="M350" s="180"/>
      <c r="N350" s="180"/>
      <c r="O350" s="180"/>
      <c r="P350" s="180"/>
      <c r="Q350" s="180"/>
      <c r="R350" s="180"/>
      <c r="S350" s="24"/>
      <c r="T350" s="182"/>
      <c r="U350" s="24"/>
      <c r="V350" s="32"/>
      <c r="W350" s="240"/>
      <c r="X350" s="64"/>
      <c r="Y350" s="75"/>
      <c r="Z350" s="64"/>
      <c r="AA350" s="64"/>
      <c r="AB350" s="25"/>
      <c r="AC350" s="23"/>
      <c r="AD350" s="23"/>
      <c r="AE350" s="23"/>
      <c r="AF350" s="335"/>
      <c r="AG350" s="336"/>
      <c r="AH350" s="334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</row>
    <row r="351" spans="1:346" s="26" customFormat="1" ht="12" hidden="1" customHeight="1" x14ac:dyDescent="0.25">
      <c r="A351" s="21"/>
      <c r="B351" s="21"/>
      <c r="C351" s="22"/>
      <c r="D351" s="353"/>
      <c r="E351" s="73"/>
      <c r="F351" s="7"/>
      <c r="G351" s="7"/>
      <c r="H351" s="7"/>
      <c r="I351" s="180"/>
      <c r="J351" s="180"/>
      <c r="K351" s="284"/>
      <c r="L351" s="193"/>
      <c r="M351" s="180"/>
      <c r="N351" s="180"/>
      <c r="O351" s="180"/>
      <c r="P351" s="180"/>
      <c r="Q351" s="180"/>
      <c r="R351" s="180"/>
      <c r="S351" s="24"/>
      <c r="T351" s="182"/>
      <c r="U351" s="24"/>
      <c r="V351" s="32"/>
      <c r="W351" s="240"/>
      <c r="X351" s="64"/>
      <c r="Y351" s="75"/>
      <c r="Z351" s="64"/>
      <c r="AA351" s="64"/>
      <c r="AB351" s="25"/>
      <c r="AC351" s="23"/>
      <c r="AD351" s="23"/>
      <c r="AE351" s="23"/>
      <c r="AF351" s="335"/>
      <c r="AG351" s="336"/>
      <c r="AH351" s="334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</row>
    <row r="352" spans="1:346" s="26" customFormat="1" ht="12" hidden="1" customHeight="1" x14ac:dyDescent="0.25">
      <c r="A352" s="21"/>
      <c r="B352" s="21"/>
      <c r="C352" s="22"/>
      <c r="D352" s="353"/>
      <c r="E352" s="73"/>
      <c r="F352" s="7"/>
      <c r="G352" s="7"/>
      <c r="H352" s="7"/>
      <c r="I352" s="180"/>
      <c r="J352" s="180"/>
      <c r="K352" s="284"/>
      <c r="L352" s="193"/>
      <c r="M352" s="180"/>
      <c r="N352" s="180"/>
      <c r="O352" s="180"/>
      <c r="P352" s="180"/>
      <c r="Q352" s="180"/>
      <c r="R352" s="180"/>
      <c r="S352" s="24"/>
      <c r="T352" s="182"/>
      <c r="U352" s="24"/>
      <c r="V352" s="32"/>
      <c r="W352" s="240"/>
      <c r="X352" s="64"/>
      <c r="Y352" s="75"/>
      <c r="Z352" s="64"/>
      <c r="AA352" s="64"/>
      <c r="AB352" s="25"/>
      <c r="AC352" s="23"/>
      <c r="AD352" s="23"/>
      <c r="AE352" s="23"/>
      <c r="AF352" s="335"/>
      <c r="AG352" s="336"/>
      <c r="AH352" s="334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</row>
    <row r="353" spans="1:346" s="26" customFormat="1" ht="12" hidden="1" customHeight="1" x14ac:dyDescent="0.25">
      <c r="A353" s="21"/>
      <c r="B353" s="21"/>
      <c r="C353" s="22"/>
      <c r="D353" s="353"/>
      <c r="E353" s="73"/>
      <c r="F353" s="7"/>
      <c r="G353" s="7"/>
      <c r="H353" s="7"/>
      <c r="I353" s="180"/>
      <c r="J353" s="180"/>
      <c r="K353" s="284"/>
      <c r="L353" s="193"/>
      <c r="M353" s="180"/>
      <c r="N353" s="180"/>
      <c r="O353" s="180"/>
      <c r="P353" s="180"/>
      <c r="Q353" s="180"/>
      <c r="R353" s="180"/>
      <c r="S353" s="24"/>
      <c r="T353" s="182"/>
      <c r="U353" s="24"/>
      <c r="V353" s="32"/>
      <c r="W353" s="240"/>
      <c r="X353" s="64"/>
      <c r="Y353" s="75"/>
      <c r="Z353" s="64"/>
      <c r="AA353" s="64"/>
      <c r="AB353" s="25"/>
      <c r="AC353" s="23"/>
      <c r="AD353" s="23"/>
      <c r="AE353" s="23"/>
      <c r="AF353" s="335"/>
      <c r="AG353" s="336"/>
      <c r="AH353" s="334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</row>
    <row r="354" spans="1:346" s="26" customFormat="1" ht="12" hidden="1" customHeight="1" x14ac:dyDescent="0.25">
      <c r="A354" s="21"/>
      <c r="B354" s="21"/>
      <c r="C354" s="22"/>
      <c r="D354" s="353"/>
      <c r="E354" s="73"/>
      <c r="F354" s="7"/>
      <c r="G354" s="7"/>
      <c r="H354" s="7"/>
      <c r="I354" s="180"/>
      <c r="J354" s="180"/>
      <c r="K354" s="284"/>
      <c r="L354" s="193"/>
      <c r="M354" s="180"/>
      <c r="N354" s="180"/>
      <c r="O354" s="180"/>
      <c r="P354" s="180"/>
      <c r="Q354" s="180"/>
      <c r="R354" s="180"/>
      <c r="S354" s="24"/>
      <c r="T354" s="182"/>
      <c r="U354" s="24"/>
      <c r="V354" s="32"/>
      <c r="W354" s="240"/>
      <c r="X354" s="64"/>
      <c r="Y354" s="75"/>
      <c r="Z354" s="64"/>
      <c r="AA354" s="64"/>
      <c r="AB354" s="25"/>
      <c r="AC354" s="23"/>
      <c r="AD354" s="23"/>
      <c r="AE354" s="23"/>
      <c r="AF354" s="335"/>
      <c r="AG354" s="336"/>
      <c r="AH354" s="334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</row>
    <row r="355" spans="1:346" s="26" customFormat="1" ht="12" hidden="1" customHeight="1" x14ac:dyDescent="0.25">
      <c r="A355" s="21"/>
      <c r="B355" s="21"/>
      <c r="C355" s="22"/>
      <c r="D355" s="353"/>
      <c r="E355" s="73"/>
      <c r="F355" s="7"/>
      <c r="G355" s="7"/>
      <c r="H355" s="7"/>
      <c r="I355" s="180"/>
      <c r="J355" s="180"/>
      <c r="K355" s="284"/>
      <c r="L355" s="193"/>
      <c r="M355" s="180"/>
      <c r="N355" s="180"/>
      <c r="O355" s="180"/>
      <c r="P355" s="180"/>
      <c r="Q355" s="180"/>
      <c r="R355" s="180"/>
      <c r="S355" s="24"/>
      <c r="T355" s="182"/>
      <c r="U355" s="24"/>
      <c r="V355" s="32"/>
      <c r="W355" s="240"/>
      <c r="X355" s="64"/>
      <c r="Y355" s="75"/>
      <c r="Z355" s="64"/>
      <c r="AA355" s="64"/>
      <c r="AB355" s="25"/>
      <c r="AC355" s="23"/>
      <c r="AD355" s="23"/>
      <c r="AE355" s="23"/>
      <c r="AF355" s="335"/>
      <c r="AG355" s="336"/>
      <c r="AH355" s="334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</row>
    <row r="356" spans="1:346" s="26" customFormat="1" ht="12" hidden="1" customHeight="1" x14ac:dyDescent="0.25">
      <c r="A356" s="21"/>
      <c r="B356" s="21"/>
      <c r="C356" s="22"/>
      <c r="D356" s="353"/>
      <c r="E356" s="73"/>
      <c r="F356" s="7"/>
      <c r="G356" s="7"/>
      <c r="H356" s="7"/>
      <c r="I356" s="180"/>
      <c r="J356" s="180"/>
      <c r="K356" s="284"/>
      <c r="L356" s="193"/>
      <c r="M356" s="180"/>
      <c r="N356" s="180"/>
      <c r="O356" s="180"/>
      <c r="P356" s="180"/>
      <c r="Q356" s="180"/>
      <c r="R356" s="180"/>
      <c r="S356" s="24"/>
      <c r="T356" s="182"/>
      <c r="U356" s="24"/>
      <c r="V356" s="32"/>
      <c r="W356" s="240"/>
      <c r="X356" s="64"/>
      <c r="Y356" s="75"/>
      <c r="Z356" s="64"/>
      <c r="AA356" s="64"/>
      <c r="AB356" s="25"/>
      <c r="AC356" s="23"/>
      <c r="AD356" s="23"/>
      <c r="AE356" s="23"/>
      <c r="AF356" s="335"/>
      <c r="AG356" s="336"/>
      <c r="AH356" s="334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</row>
    <row r="357" spans="1:346" s="26" customFormat="1" ht="12" hidden="1" customHeight="1" x14ac:dyDescent="0.25">
      <c r="A357" s="21"/>
      <c r="B357" s="21"/>
      <c r="C357" s="22"/>
      <c r="D357" s="353"/>
      <c r="E357" s="73"/>
      <c r="F357" s="7"/>
      <c r="G357" s="7"/>
      <c r="H357" s="7"/>
      <c r="I357" s="180"/>
      <c r="J357" s="180"/>
      <c r="K357" s="284"/>
      <c r="L357" s="193"/>
      <c r="M357" s="180"/>
      <c r="N357" s="180"/>
      <c r="O357" s="180"/>
      <c r="P357" s="180"/>
      <c r="Q357" s="180"/>
      <c r="R357" s="180"/>
      <c r="S357" s="24"/>
      <c r="T357" s="182"/>
      <c r="U357" s="24"/>
      <c r="V357" s="32"/>
      <c r="W357" s="240"/>
      <c r="X357" s="64"/>
      <c r="Y357" s="75"/>
      <c r="Z357" s="64"/>
      <c r="AA357" s="64"/>
      <c r="AB357" s="25"/>
      <c r="AC357" s="23"/>
      <c r="AD357" s="23"/>
      <c r="AE357" s="23"/>
      <c r="AF357" s="335"/>
      <c r="AG357" s="336"/>
      <c r="AH357" s="334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</row>
    <row r="358" spans="1:346" s="26" customFormat="1" ht="12" hidden="1" customHeight="1" x14ac:dyDescent="0.25">
      <c r="A358" s="21"/>
      <c r="B358" s="21"/>
      <c r="C358" s="22"/>
      <c r="D358" s="353"/>
      <c r="E358" s="73"/>
      <c r="F358" s="7"/>
      <c r="G358" s="7"/>
      <c r="H358" s="7"/>
      <c r="I358" s="180"/>
      <c r="J358" s="180"/>
      <c r="K358" s="284"/>
      <c r="L358" s="193"/>
      <c r="M358" s="180"/>
      <c r="N358" s="180"/>
      <c r="O358" s="180"/>
      <c r="P358" s="180"/>
      <c r="Q358" s="180"/>
      <c r="R358" s="180"/>
      <c r="S358" s="24"/>
      <c r="T358" s="182"/>
      <c r="U358" s="24"/>
      <c r="V358" s="32"/>
      <c r="W358" s="240"/>
      <c r="X358" s="64"/>
      <c r="Y358" s="75"/>
      <c r="Z358" s="64"/>
      <c r="AA358" s="64"/>
      <c r="AB358" s="25"/>
      <c r="AC358" s="23"/>
      <c r="AD358" s="23"/>
      <c r="AE358" s="23"/>
      <c r="AF358" s="335"/>
      <c r="AG358" s="336"/>
      <c r="AH358" s="334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</row>
    <row r="359" spans="1:346" s="26" customFormat="1" ht="12" hidden="1" customHeight="1" x14ac:dyDescent="0.25">
      <c r="A359" s="21"/>
      <c r="B359" s="21"/>
      <c r="C359" s="22"/>
      <c r="D359" s="353"/>
      <c r="E359" s="73"/>
      <c r="F359" s="7"/>
      <c r="G359" s="7"/>
      <c r="H359" s="7"/>
      <c r="I359" s="180"/>
      <c r="J359" s="180"/>
      <c r="K359" s="284"/>
      <c r="L359" s="193"/>
      <c r="M359" s="180"/>
      <c r="N359" s="180"/>
      <c r="O359" s="180"/>
      <c r="P359" s="180"/>
      <c r="Q359" s="180"/>
      <c r="R359" s="180"/>
      <c r="S359" s="24"/>
      <c r="T359" s="182"/>
      <c r="U359" s="24"/>
      <c r="V359" s="32"/>
      <c r="W359" s="240"/>
      <c r="X359" s="64"/>
      <c r="Y359" s="75"/>
      <c r="Z359" s="64"/>
      <c r="AA359" s="64"/>
      <c r="AB359" s="25"/>
      <c r="AC359" s="23"/>
      <c r="AD359" s="23"/>
      <c r="AE359" s="23"/>
      <c r="AF359" s="335"/>
      <c r="AG359" s="336"/>
      <c r="AH359" s="334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</row>
    <row r="360" spans="1:346" s="26" customFormat="1" ht="12" hidden="1" customHeight="1" x14ac:dyDescent="0.25">
      <c r="A360" s="21"/>
      <c r="B360" s="21"/>
      <c r="C360" s="22"/>
      <c r="D360" s="353"/>
      <c r="E360" s="73"/>
      <c r="F360" s="7"/>
      <c r="G360" s="7"/>
      <c r="H360" s="7"/>
      <c r="I360" s="180"/>
      <c r="J360" s="180"/>
      <c r="K360" s="284"/>
      <c r="L360" s="193"/>
      <c r="M360" s="180"/>
      <c r="N360" s="180"/>
      <c r="O360" s="180"/>
      <c r="P360" s="180"/>
      <c r="Q360" s="180"/>
      <c r="R360" s="180"/>
      <c r="S360" s="24"/>
      <c r="T360" s="182"/>
      <c r="U360" s="24"/>
      <c r="V360" s="32"/>
      <c r="W360" s="240"/>
      <c r="X360" s="64"/>
      <c r="Y360" s="75"/>
      <c r="Z360" s="64"/>
      <c r="AA360" s="64"/>
      <c r="AB360" s="25"/>
      <c r="AC360" s="23"/>
      <c r="AD360" s="23"/>
      <c r="AE360" s="23"/>
      <c r="AF360" s="335"/>
      <c r="AG360" s="336"/>
      <c r="AH360" s="334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</row>
    <row r="361" spans="1:346" s="26" customFormat="1" ht="12" hidden="1" customHeight="1" x14ac:dyDescent="0.25">
      <c r="A361" s="21"/>
      <c r="B361" s="21"/>
      <c r="C361" s="22"/>
      <c r="D361" s="353"/>
      <c r="E361" s="73"/>
      <c r="F361" s="7"/>
      <c r="G361" s="7"/>
      <c r="H361" s="7"/>
      <c r="I361" s="180"/>
      <c r="J361" s="180"/>
      <c r="K361" s="284"/>
      <c r="L361" s="193"/>
      <c r="M361" s="180"/>
      <c r="N361" s="180"/>
      <c r="O361" s="180"/>
      <c r="P361" s="180"/>
      <c r="Q361" s="180"/>
      <c r="R361" s="180"/>
      <c r="S361" s="24"/>
      <c r="T361" s="182"/>
      <c r="U361" s="24"/>
      <c r="V361" s="32"/>
      <c r="W361" s="240"/>
      <c r="X361" s="64"/>
      <c r="Y361" s="75"/>
      <c r="Z361" s="64"/>
      <c r="AA361" s="64"/>
      <c r="AB361" s="25"/>
      <c r="AC361" s="23"/>
      <c r="AD361" s="23"/>
      <c r="AE361" s="23"/>
      <c r="AF361" s="335"/>
      <c r="AG361" s="336"/>
      <c r="AH361" s="334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</row>
    <row r="362" spans="1:346" s="26" customFormat="1" ht="12" hidden="1" customHeight="1" x14ac:dyDescent="0.25">
      <c r="A362" s="21"/>
      <c r="B362" s="21"/>
      <c r="C362" s="22"/>
      <c r="D362" s="353"/>
      <c r="E362" s="73"/>
      <c r="F362" s="7"/>
      <c r="G362" s="7"/>
      <c r="H362" s="7"/>
      <c r="I362" s="180"/>
      <c r="J362" s="180"/>
      <c r="K362" s="284"/>
      <c r="L362" s="193"/>
      <c r="M362" s="180"/>
      <c r="N362" s="180"/>
      <c r="O362" s="180"/>
      <c r="P362" s="180"/>
      <c r="Q362" s="180"/>
      <c r="R362" s="180"/>
      <c r="S362" s="24"/>
      <c r="T362" s="182"/>
      <c r="U362" s="24"/>
      <c r="V362" s="32"/>
      <c r="W362" s="240"/>
      <c r="X362" s="64"/>
      <c r="Y362" s="75"/>
      <c r="Z362" s="64"/>
      <c r="AA362" s="64"/>
      <c r="AB362" s="25"/>
      <c r="AC362" s="23"/>
      <c r="AD362" s="23"/>
      <c r="AE362" s="23"/>
      <c r="AF362" s="335"/>
      <c r="AG362" s="336"/>
      <c r="AH362" s="334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</row>
    <row r="363" spans="1:346" s="26" customFormat="1" ht="12" hidden="1" customHeight="1" x14ac:dyDescent="0.25">
      <c r="A363" s="21"/>
      <c r="B363" s="21"/>
      <c r="C363" s="22"/>
      <c r="D363" s="353"/>
      <c r="E363" s="73"/>
      <c r="F363" s="7"/>
      <c r="G363" s="7"/>
      <c r="H363" s="7"/>
      <c r="I363" s="180"/>
      <c r="J363" s="180"/>
      <c r="K363" s="284"/>
      <c r="L363" s="193"/>
      <c r="M363" s="180"/>
      <c r="N363" s="180"/>
      <c r="O363" s="180"/>
      <c r="P363" s="180"/>
      <c r="Q363" s="180"/>
      <c r="R363" s="180"/>
      <c r="S363" s="24"/>
      <c r="T363" s="182"/>
      <c r="U363" s="24"/>
      <c r="V363" s="32"/>
      <c r="W363" s="240"/>
      <c r="X363" s="64"/>
      <c r="Y363" s="75"/>
      <c r="Z363" s="64"/>
      <c r="AA363" s="64"/>
      <c r="AB363" s="25"/>
      <c r="AC363" s="23"/>
      <c r="AD363" s="23"/>
      <c r="AE363" s="23"/>
      <c r="AF363" s="335"/>
      <c r="AG363" s="336"/>
      <c r="AH363" s="334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</row>
    <row r="364" spans="1:346" s="26" customFormat="1" ht="12" hidden="1" customHeight="1" x14ac:dyDescent="0.25">
      <c r="A364" s="21"/>
      <c r="B364" s="21"/>
      <c r="C364" s="22"/>
      <c r="D364" s="353"/>
      <c r="E364" s="73"/>
      <c r="F364" s="7"/>
      <c r="G364" s="7"/>
      <c r="H364" s="7"/>
      <c r="I364" s="180"/>
      <c r="J364" s="180"/>
      <c r="K364" s="284"/>
      <c r="L364" s="193"/>
      <c r="M364" s="180"/>
      <c r="N364" s="180"/>
      <c r="O364" s="180"/>
      <c r="P364" s="180"/>
      <c r="Q364" s="180"/>
      <c r="R364" s="180"/>
      <c r="S364" s="24"/>
      <c r="T364" s="182"/>
      <c r="U364" s="24"/>
      <c r="V364" s="32"/>
      <c r="W364" s="240"/>
      <c r="X364" s="64"/>
      <c r="Y364" s="75"/>
      <c r="Z364" s="64"/>
      <c r="AA364" s="64"/>
      <c r="AB364" s="25"/>
      <c r="AC364" s="23"/>
      <c r="AD364" s="23"/>
      <c r="AE364" s="23"/>
      <c r="AF364" s="335"/>
      <c r="AG364" s="336"/>
      <c r="AH364" s="334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</row>
    <row r="365" spans="1:346" s="26" customFormat="1" ht="12" hidden="1" customHeight="1" x14ac:dyDescent="0.25">
      <c r="A365" s="21"/>
      <c r="B365" s="21"/>
      <c r="C365" s="22"/>
      <c r="D365" s="353"/>
      <c r="E365" s="73"/>
      <c r="F365" s="7"/>
      <c r="G365" s="7"/>
      <c r="H365" s="7"/>
      <c r="I365" s="180"/>
      <c r="J365" s="180"/>
      <c r="K365" s="284"/>
      <c r="L365" s="193"/>
      <c r="M365" s="180"/>
      <c r="N365" s="180"/>
      <c r="O365" s="180"/>
      <c r="P365" s="180"/>
      <c r="Q365" s="180"/>
      <c r="R365" s="180"/>
      <c r="S365" s="24"/>
      <c r="T365" s="182"/>
      <c r="U365" s="24"/>
      <c r="V365" s="32"/>
      <c r="W365" s="240"/>
      <c r="X365" s="64"/>
      <c r="Y365" s="75"/>
      <c r="Z365" s="64"/>
      <c r="AA365" s="64"/>
      <c r="AB365" s="25"/>
      <c r="AC365" s="23"/>
      <c r="AD365" s="23"/>
      <c r="AE365" s="23"/>
      <c r="AF365" s="335"/>
      <c r="AG365" s="336"/>
      <c r="AH365" s="334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</row>
    <row r="366" spans="1:346" s="26" customFormat="1" ht="12" hidden="1" customHeight="1" x14ac:dyDescent="0.25">
      <c r="A366" s="21"/>
      <c r="B366" s="21"/>
      <c r="C366" s="22"/>
      <c r="D366" s="353"/>
      <c r="E366" s="73"/>
      <c r="F366" s="7"/>
      <c r="G366" s="7"/>
      <c r="H366" s="7"/>
      <c r="I366" s="180"/>
      <c r="J366" s="180"/>
      <c r="K366" s="284"/>
      <c r="L366" s="193"/>
      <c r="M366" s="180"/>
      <c r="N366" s="180"/>
      <c r="O366" s="180"/>
      <c r="P366" s="180"/>
      <c r="Q366" s="180"/>
      <c r="R366" s="180"/>
      <c r="S366" s="24"/>
      <c r="T366" s="182"/>
      <c r="U366" s="24"/>
      <c r="V366" s="32"/>
      <c r="W366" s="240"/>
      <c r="X366" s="64"/>
      <c r="Y366" s="75"/>
      <c r="Z366" s="64"/>
      <c r="AA366" s="64"/>
      <c r="AB366" s="25"/>
      <c r="AC366" s="23"/>
      <c r="AD366" s="23"/>
      <c r="AE366" s="23"/>
      <c r="AF366" s="335"/>
      <c r="AG366" s="336"/>
      <c r="AH366" s="334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</row>
    <row r="367" spans="1:346" s="26" customFormat="1" ht="12" hidden="1" customHeight="1" x14ac:dyDescent="0.25">
      <c r="A367" s="21"/>
      <c r="B367" s="21"/>
      <c r="C367" s="22"/>
      <c r="D367" s="353"/>
      <c r="E367" s="73"/>
      <c r="F367" s="7"/>
      <c r="G367" s="7"/>
      <c r="H367" s="7"/>
      <c r="I367" s="180"/>
      <c r="J367" s="180"/>
      <c r="K367" s="284"/>
      <c r="L367" s="193"/>
      <c r="M367" s="180"/>
      <c r="N367" s="180"/>
      <c r="O367" s="180"/>
      <c r="P367" s="180"/>
      <c r="Q367" s="180"/>
      <c r="R367" s="180"/>
      <c r="S367" s="24"/>
      <c r="T367" s="182"/>
      <c r="U367" s="24"/>
      <c r="V367" s="32"/>
      <c r="W367" s="240"/>
      <c r="X367" s="64"/>
      <c r="Y367" s="75"/>
      <c r="Z367" s="64"/>
      <c r="AA367" s="64"/>
      <c r="AB367" s="25"/>
      <c r="AC367" s="23"/>
      <c r="AD367" s="23"/>
      <c r="AE367" s="23"/>
      <c r="AF367" s="335"/>
      <c r="AG367" s="336"/>
      <c r="AH367" s="334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</row>
    <row r="368" spans="1:346" s="26" customFormat="1" ht="12" hidden="1" customHeight="1" x14ac:dyDescent="0.25">
      <c r="A368" s="21"/>
      <c r="B368" s="21"/>
      <c r="C368" s="22"/>
      <c r="D368" s="353"/>
      <c r="E368" s="73"/>
      <c r="F368" s="7"/>
      <c r="G368" s="7"/>
      <c r="H368" s="7"/>
      <c r="I368" s="180"/>
      <c r="J368" s="180"/>
      <c r="K368" s="284"/>
      <c r="L368" s="193"/>
      <c r="M368" s="180"/>
      <c r="N368" s="180"/>
      <c r="O368" s="180"/>
      <c r="P368" s="180"/>
      <c r="Q368" s="180"/>
      <c r="R368" s="180"/>
      <c r="S368" s="24"/>
      <c r="T368" s="182"/>
      <c r="U368" s="24"/>
      <c r="V368" s="32"/>
      <c r="W368" s="240"/>
      <c r="X368" s="64"/>
      <c r="Y368" s="75"/>
      <c r="Z368" s="64"/>
      <c r="AA368" s="64"/>
      <c r="AB368" s="25"/>
      <c r="AC368" s="23"/>
      <c r="AD368" s="23"/>
      <c r="AE368" s="23"/>
      <c r="AF368" s="335"/>
      <c r="AG368" s="336"/>
      <c r="AH368" s="334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</row>
    <row r="369" spans="1:346" s="26" customFormat="1" ht="12" hidden="1" customHeight="1" x14ac:dyDescent="0.25">
      <c r="A369" s="21"/>
      <c r="B369" s="21"/>
      <c r="C369" s="22"/>
      <c r="D369" s="353"/>
      <c r="E369" s="73"/>
      <c r="F369" s="7"/>
      <c r="G369" s="7"/>
      <c r="H369" s="7"/>
      <c r="I369" s="180"/>
      <c r="J369" s="180"/>
      <c r="K369" s="284"/>
      <c r="L369" s="193"/>
      <c r="M369" s="180"/>
      <c r="N369" s="180"/>
      <c r="O369" s="180"/>
      <c r="P369" s="180"/>
      <c r="Q369" s="180"/>
      <c r="R369" s="180"/>
      <c r="S369" s="24"/>
      <c r="T369" s="182"/>
      <c r="U369" s="24"/>
      <c r="V369" s="32"/>
      <c r="W369" s="240"/>
      <c r="X369" s="64"/>
      <c r="Y369" s="75"/>
      <c r="Z369" s="64"/>
      <c r="AA369" s="64"/>
      <c r="AB369" s="25"/>
      <c r="AC369" s="23"/>
      <c r="AD369" s="23"/>
      <c r="AE369" s="23"/>
      <c r="AF369" s="335"/>
      <c r="AG369" s="336"/>
      <c r="AH369" s="334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</row>
    <row r="370" spans="1:346" s="26" customFormat="1" ht="12" hidden="1" customHeight="1" x14ac:dyDescent="0.25">
      <c r="A370" s="21"/>
      <c r="B370" s="21"/>
      <c r="C370" s="22"/>
      <c r="D370" s="353"/>
      <c r="E370" s="73"/>
      <c r="F370" s="7"/>
      <c r="G370" s="7"/>
      <c r="H370" s="7"/>
      <c r="I370" s="180"/>
      <c r="J370" s="180"/>
      <c r="K370" s="284"/>
      <c r="L370" s="193"/>
      <c r="M370" s="180"/>
      <c r="N370" s="180"/>
      <c r="O370" s="180"/>
      <c r="P370" s="180"/>
      <c r="Q370" s="180"/>
      <c r="R370" s="180"/>
      <c r="S370" s="24"/>
      <c r="T370" s="182"/>
      <c r="U370" s="24"/>
      <c r="V370" s="32"/>
      <c r="W370" s="240"/>
      <c r="X370" s="64"/>
      <c r="Y370" s="75"/>
      <c r="Z370" s="64"/>
      <c r="AA370" s="64"/>
      <c r="AB370" s="25"/>
      <c r="AC370" s="23"/>
      <c r="AD370" s="23"/>
      <c r="AE370" s="23"/>
      <c r="AF370" s="335"/>
      <c r="AG370" s="336"/>
      <c r="AH370" s="334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</row>
    <row r="371" spans="1:346" s="26" customFormat="1" ht="12" hidden="1" customHeight="1" x14ac:dyDescent="0.25">
      <c r="A371" s="21"/>
      <c r="B371" s="21"/>
      <c r="C371" s="22"/>
      <c r="D371" s="353"/>
      <c r="E371" s="73"/>
      <c r="F371" s="7"/>
      <c r="G371" s="7"/>
      <c r="H371" s="7"/>
      <c r="I371" s="180"/>
      <c r="J371" s="180"/>
      <c r="K371" s="284"/>
      <c r="L371" s="193"/>
      <c r="M371" s="180"/>
      <c r="N371" s="180"/>
      <c r="O371" s="180"/>
      <c r="P371" s="180"/>
      <c r="Q371" s="180"/>
      <c r="R371" s="180"/>
      <c r="S371" s="24"/>
      <c r="T371" s="182"/>
      <c r="U371" s="24"/>
      <c r="V371" s="32"/>
      <c r="W371" s="240"/>
      <c r="X371" s="64"/>
      <c r="Y371" s="75"/>
      <c r="Z371" s="64"/>
      <c r="AA371" s="64"/>
      <c r="AB371" s="25"/>
      <c r="AC371" s="23"/>
      <c r="AD371" s="23"/>
      <c r="AE371" s="23"/>
      <c r="AF371" s="335"/>
      <c r="AG371" s="336"/>
      <c r="AH371" s="334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</row>
    <row r="372" spans="1:346" s="26" customFormat="1" ht="12" hidden="1" customHeight="1" x14ac:dyDescent="0.25">
      <c r="A372" s="21"/>
      <c r="B372" s="21"/>
      <c r="C372" s="22"/>
      <c r="D372" s="353"/>
      <c r="E372" s="73"/>
      <c r="F372" s="7"/>
      <c r="G372" s="7"/>
      <c r="H372" s="7"/>
      <c r="I372" s="180"/>
      <c r="J372" s="180"/>
      <c r="K372" s="284"/>
      <c r="L372" s="193"/>
      <c r="M372" s="180"/>
      <c r="N372" s="180"/>
      <c r="O372" s="180"/>
      <c r="P372" s="180"/>
      <c r="Q372" s="180"/>
      <c r="R372" s="180"/>
      <c r="S372" s="24"/>
      <c r="T372" s="182"/>
      <c r="U372" s="24"/>
      <c r="V372" s="32"/>
      <c r="W372" s="240"/>
      <c r="X372" s="64"/>
      <c r="Y372" s="75"/>
      <c r="Z372" s="64"/>
      <c r="AA372" s="64"/>
      <c r="AB372" s="25"/>
      <c r="AC372" s="23"/>
      <c r="AD372" s="23"/>
      <c r="AE372" s="23"/>
      <c r="AF372" s="335"/>
      <c r="AG372" s="336"/>
      <c r="AH372" s="334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</row>
    <row r="373" spans="1:346" s="26" customFormat="1" ht="12" hidden="1" customHeight="1" x14ac:dyDescent="0.25">
      <c r="A373" s="21"/>
      <c r="B373" s="21"/>
      <c r="C373" s="22"/>
      <c r="D373" s="353"/>
      <c r="E373" s="73"/>
      <c r="F373" s="7"/>
      <c r="G373" s="7"/>
      <c r="H373" s="7"/>
      <c r="I373" s="180"/>
      <c r="J373" s="180"/>
      <c r="K373" s="284"/>
      <c r="L373" s="193"/>
      <c r="M373" s="180"/>
      <c r="N373" s="180"/>
      <c r="O373" s="180"/>
      <c r="P373" s="180"/>
      <c r="Q373" s="180"/>
      <c r="R373" s="180"/>
      <c r="S373" s="24"/>
      <c r="T373" s="182"/>
      <c r="U373" s="24"/>
      <c r="V373" s="32"/>
      <c r="W373" s="240"/>
      <c r="X373" s="64"/>
      <c r="Y373" s="75"/>
      <c r="Z373" s="64"/>
      <c r="AA373" s="64"/>
      <c r="AB373" s="25"/>
      <c r="AC373" s="23"/>
      <c r="AD373" s="23"/>
      <c r="AE373" s="23"/>
      <c r="AF373" s="335"/>
      <c r="AG373" s="336"/>
      <c r="AH373" s="334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</row>
    <row r="374" spans="1:346" s="26" customFormat="1" ht="12" hidden="1" customHeight="1" x14ac:dyDescent="0.25">
      <c r="A374" s="21"/>
      <c r="B374" s="21"/>
      <c r="C374" s="22"/>
      <c r="D374" s="353"/>
      <c r="E374" s="73"/>
      <c r="F374" s="7"/>
      <c r="G374" s="7"/>
      <c r="H374" s="7"/>
      <c r="I374" s="180"/>
      <c r="J374" s="180"/>
      <c r="K374" s="284"/>
      <c r="L374" s="193"/>
      <c r="M374" s="180"/>
      <c r="N374" s="180"/>
      <c r="O374" s="180"/>
      <c r="P374" s="180"/>
      <c r="Q374" s="180"/>
      <c r="R374" s="180"/>
      <c r="S374" s="24"/>
      <c r="T374" s="182"/>
      <c r="U374" s="24"/>
      <c r="V374" s="32"/>
      <c r="W374" s="240"/>
      <c r="X374" s="64"/>
      <c r="Y374" s="75"/>
      <c r="Z374" s="64"/>
      <c r="AA374" s="64"/>
      <c r="AB374" s="25"/>
      <c r="AC374" s="23"/>
      <c r="AD374" s="23"/>
      <c r="AE374" s="23"/>
      <c r="AF374" s="335"/>
      <c r="AG374" s="336"/>
      <c r="AH374" s="334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</row>
    <row r="375" spans="1:346" s="26" customFormat="1" ht="12" hidden="1" customHeight="1" x14ac:dyDescent="0.25">
      <c r="A375" s="21"/>
      <c r="B375" s="21"/>
      <c r="C375" s="22"/>
      <c r="D375" s="353"/>
      <c r="E375" s="73"/>
      <c r="F375" s="7"/>
      <c r="G375" s="7"/>
      <c r="H375" s="7"/>
      <c r="I375" s="180"/>
      <c r="J375" s="180"/>
      <c r="K375" s="284"/>
      <c r="L375" s="193"/>
      <c r="M375" s="180"/>
      <c r="N375" s="180"/>
      <c r="O375" s="180"/>
      <c r="P375" s="180"/>
      <c r="Q375" s="180"/>
      <c r="R375" s="180"/>
      <c r="S375" s="24"/>
      <c r="T375" s="182"/>
      <c r="U375" s="24"/>
      <c r="V375" s="32"/>
      <c r="W375" s="240"/>
      <c r="X375" s="64"/>
      <c r="Y375" s="75"/>
      <c r="Z375" s="64"/>
      <c r="AA375" s="64"/>
      <c r="AB375" s="25"/>
      <c r="AC375" s="23"/>
      <c r="AD375" s="23"/>
      <c r="AE375" s="23"/>
      <c r="AF375" s="335"/>
      <c r="AG375" s="336"/>
      <c r="AH375" s="334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</row>
    <row r="376" spans="1:346" s="26" customFormat="1" ht="12" hidden="1" customHeight="1" x14ac:dyDescent="0.25">
      <c r="A376" s="21"/>
      <c r="B376" s="21"/>
      <c r="C376" s="22"/>
      <c r="D376" s="353"/>
      <c r="E376" s="73"/>
      <c r="F376" s="7"/>
      <c r="G376" s="7"/>
      <c r="H376" s="7"/>
      <c r="I376" s="180"/>
      <c r="J376" s="180"/>
      <c r="K376" s="284"/>
      <c r="L376" s="193"/>
      <c r="M376" s="180"/>
      <c r="N376" s="180"/>
      <c r="O376" s="180"/>
      <c r="P376" s="180"/>
      <c r="Q376" s="180"/>
      <c r="R376" s="180"/>
      <c r="S376" s="24"/>
      <c r="T376" s="182"/>
      <c r="U376" s="24"/>
      <c r="V376" s="32"/>
      <c r="W376" s="240"/>
      <c r="X376" s="64"/>
      <c r="Y376" s="75"/>
      <c r="Z376" s="64"/>
      <c r="AA376" s="64"/>
      <c r="AB376" s="25"/>
      <c r="AC376" s="23"/>
      <c r="AD376" s="23"/>
      <c r="AE376" s="23"/>
      <c r="AF376" s="335"/>
      <c r="AG376" s="336"/>
      <c r="AH376" s="334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</row>
    <row r="377" spans="1:346" s="26" customFormat="1" ht="12" hidden="1" customHeight="1" x14ac:dyDescent="0.25">
      <c r="A377" s="21"/>
      <c r="B377" s="21"/>
      <c r="C377" s="22"/>
      <c r="D377" s="353"/>
      <c r="E377" s="73"/>
      <c r="F377" s="7"/>
      <c r="G377" s="7"/>
      <c r="H377" s="7"/>
      <c r="I377" s="180"/>
      <c r="J377" s="180"/>
      <c r="K377" s="284"/>
      <c r="L377" s="193"/>
      <c r="M377" s="180"/>
      <c r="N377" s="180"/>
      <c r="O377" s="180"/>
      <c r="P377" s="180"/>
      <c r="Q377" s="180"/>
      <c r="R377" s="180"/>
      <c r="S377" s="24"/>
      <c r="T377" s="182"/>
      <c r="U377" s="24"/>
      <c r="V377" s="32"/>
      <c r="W377" s="240"/>
      <c r="X377" s="64"/>
      <c r="Y377" s="75"/>
      <c r="Z377" s="64"/>
      <c r="AA377" s="64"/>
      <c r="AB377" s="25"/>
      <c r="AC377" s="23"/>
      <c r="AD377" s="23"/>
      <c r="AE377" s="23"/>
      <c r="AF377" s="335"/>
      <c r="AG377" s="336"/>
      <c r="AH377" s="334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</row>
    <row r="378" spans="1:346" s="26" customFormat="1" ht="12" hidden="1" customHeight="1" x14ac:dyDescent="0.25">
      <c r="A378" s="21"/>
      <c r="B378" s="21"/>
      <c r="C378" s="22"/>
      <c r="D378" s="353"/>
      <c r="E378" s="73"/>
      <c r="F378" s="7"/>
      <c r="G378" s="7"/>
      <c r="H378" s="7"/>
      <c r="I378" s="180"/>
      <c r="J378" s="180"/>
      <c r="K378" s="284"/>
      <c r="L378" s="193"/>
      <c r="M378" s="180"/>
      <c r="N378" s="180"/>
      <c r="O378" s="180"/>
      <c r="P378" s="180"/>
      <c r="Q378" s="180"/>
      <c r="R378" s="180"/>
      <c r="S378" s="24"/>
      <c r="T378" s="182"/>
      <c r="U378" s="24"/>
      <c r="V378" s="32"/>
      <c r="W378" s="240"/>
      <c r="X378" s="64"/>
      <c r="Y378" s="75"/>
      <c r="Z378" s="64"/>
      <c r="AA378" s="64"/>
      <c r="AB378" s="25"/>
      <c r="AC378" s="23"/>
      <c r="AD378" s="23"/>
      <c r="AE378" s="23"/>
      <c r="AF378" s="335"/>
      <c r="AG378" s="336"/>
      <c r="AH378" s="334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</row>
    <row r="379" spans="1:346" s="26" customFormat="1" ht="12" hidden="1" customHeight="1" x14ac:dyDescent="0.25">
      <c r="A379" s="21"/>
      <c r="B379" s="21"/>
      <c r="C379" s="22"/>
      <c r="D379" s="353"/>
      <c r="E379" s="73"/>
      <c r="F379" s="7"/>
      <c r="G379" s="7"/>
      <c r="H379" s="7"/>
      <c r="I379" s="180"/>
      <c r="J379" s="180"/>
      <c r="K379" s="284"/>
      <c r="L379" s="193"/>
      <c r="M379" s="180"/>
      <c r="N379" s="180"/>
      <c r="O379" s="180"/>
      <c r="P379" s="180"/>
      <c r="Q379" s="180"/>
      <c r="R379" s="180"/>
      <c r="S379" s="24"/>
      <c r="T379" s="182"/>
      <c r="U379" s="24"/>
      <c r="V379" s="32"/>
      <c r="W379" s="240"/>
      <c r="X379" s="64"/>
      <c r="Y379" s="75"/>
      <c r="Z379" s="64"/>
      <c r="AA379" s="64"/>
      <c r="AB379" s="25"/>
      <c r="AC379" s="23"/>
      <c r="AD379" s="23"/>
      <c r="AE379" s="23"/>
      <c r="AF379" s="335"/>
      <c r="AG379" s="336"/>
      <c r="AH379" s="334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</row>
    <row r="380" spans="1:346" s="26" customFormat="1" ht="12" hidden="1" customHeight="1" x14ac:dyDescent="0.25">
      <c r="A380" s="21"/>
      <c r="B380" s="21"/>
      <c r="C380" s="22"/>
      <c r="D380" s="353"/>
      <c r="E380" s="73"/>
      <c r="F380" s="7"/>
      <c r="G380" s="7"/>
      <c r="H380" s="7"/>
      <c r="I380" s="180"/>
      <c r="J380" s="180"/>
      <c r="K380" s="284"/>
      <c r="L380" s="193"/>
      <c r="M380" s="180"/>
      <c r="N380" s="180"/>
      <c r="O380" s="180"/>
      <c r="P380" s="180"/>
      <c r="Q380" s="180"/>
      <c r="R380" s="180"/>
      <c r="S380" s="24"/>
      <c r="T380" s="182"/>
      <c r="U380" s="24"/>
      <c r="V380" s="32"/>
      <c r="W380" s="240"/>
      <c r="X380" s="64"/>
      <c r="Y380" s="75"/>
      <c r="Z380" s="64"/>
      <c r="AA380" s="64"/>
      <c r="AB380" s="25"/>
      <c r="AC380" s="23"/>
      <c r="AD380" s="23"/>
      <c r="AE380" s="23"/>
      <c r="AF380" s="335"/>
      <c r="AG380" s="336"/>
      <c r="AH380" s="334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</row>
    <row r="381" spans="1:346" s="26" customFormat="1" ht="12" hidden="1" customHeight="1" x14ac:dyDescent="0.25">
      <c r="A381" s="21"/>
      <c r="B381" s="21"/>
      <c r="C381" s="22"/>
      <c r="D381" s="353"/>
      <c r="E381" s="73"/>
      <c r="F381" s="7"/>
      <c r="G381" s="7"/>
      <c r="H381" s="7"/>
      <c r="I381" s="180"/>
      <c r="J381" s="180"/>
      <c r="K381" s="284"/>
      <c r="L381" s="193"/>
      <c r="M381" s="180"/>
      <c r="N381" s="180"/>
      <c r="O381" s="180"/>
      <c r="P381" s="180"/>
      <c r="Q381" s="180"/>
      <c r="R381" s="180"/>
      <c r="S381" s="24"/>
      <c r="T381" s="182"/>
      <c r="U381" s="24"/>
      <c r="V381" s="32"/>
      <c r="W381" s="240"/>
      <c r="X381" s="64"/>
      <c r="Y381" s="75"/>
      <c r="Z381" s="64"/>
      <c r="AA381" s="64"/>
      <c r="AB381" s="25"/>
      <c r="AC381" s="23"/>
      <c r="AD381" s="23"/>
      <c r="AE381" s="23"/>
      <c r="AF381" s="335"/>
      <c r="AG381" s="336"/>
      <c r="AH381" s="334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</row>
    <row r="382" spans="1:346" s="26" customFormat="1" ht="12" hidden="1" customHeight="1" x14ac:dyDescent="0.25">
      <c r="A382" s="21"/>
      <c r="B382" s="21"/>
      <c r="C382" s="22"/>
      <c r="D382" s="353"/>
      <c r="E382" s="73"/>
      <c r="F382" s="7"/>
      <c r="G382" s="7"/>
      <c r="H382" s="7"/>
      <c r="I382" s="180"/>
      <c r="J382" s="180"/>
      <c r="K382" s="284"/>
      <c r="L382" s="193"/>
      <c r="M382" s="180"/>
      <c r="N382" s="180"/>
      <c r="O382" s="180"/>
      <c r="P382" s="180"/>
      <c r="Q382" s="180"/>
      <c r="R382" s="180"/>
      <c r="S382" s="24"/>
      <c r="T382" s="182"/>
      <c r="U382" s="24"/>
      <c r="V382" s="32"/>
      <c r="W382" s="240"/>
      <c r="X382" s="64"/>
      <c r="Y382" s="75"/>
      <c r="Z382" s="64"/>
      <c r="AA382" s="64"/>
      <c r="AB382" s="25"/>
      <c r="AC382" s="23"/>
      <c r="AD382" s="23"/>
      <c r="AE382" s="23"/>
      <c r="AF382" s="335"/>
      <c r="AG382" s="336"/>
      <c r="AH382" s="334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</row>
    <row r="383" spans="1:346" s="26" customFormat="1" ht="12" hidden="1" customHeight="1" x14ac:dyDescent="0.25">
      <c r="A383" s="21"/>
      <c r="B383" s="21"/>
      <c r="C383" s="22"/>
      <c r="D383" s="353"/>
      <c r="E383" s="73"/>
      <c r="F383" s="7"/>
      <c r="G383" s="7"/>
      <c r="H383" s="7"/>
      <c r="I383" s="180"/>
      <c r="J383" s="180"/>
      <c r="K383" s="284"/>
      <c r="L383" s="193"/>
      <c r="M383" s="180"/>
      <c r="N383" s="180"/>
      <c r="O383" s="180"/>
      <c r="P383" s="180"/>
      <c r="Q383" s="180"/>
      <c r="R383" s="180"/>
      <c r="S383" s="24"/>
      <c r="T383" s="182"/>
      <c r="U383" s="24"/>
      <c r="V383" s="32"/>
      <c r="W383" s="240"/>
      <c r="X383" s="64"/>
      <c r="Y383" s="75"/>
      <c r="Z383" s="64"/>
      <c r="AA383" s="64"/>
      <c r="AB383" s="25"/>
      <c r="AC383" s="23"/>
      <c r="AD383" s="23"/>
      <c r="AE383" s="23"/>
      <c r="AF383" s="335"/>
      <c r="AG383" s="336"/>
      <c r="AH383" s="334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</row>
    <row r="384" spans="1:346" s="26" customFormat="1" ht="12" hidden="1" customHeight="1" x14ac:dyDescent="0.25">
      <c r="A384" s="21"/>
      <c r="B384" s="21"/>
      <c r="C384" s="22"/>
      <c r="D384" s="353"/>
      <c r="E384" s="73"/>
      <c r="F384" s="7"/>
      <c r="G384" s="7"/>
      <c r="H384" s="7"/>
      <c r="I384" s="180"/>
      <c r="J384" s="180"/>
      <c r="K384" s="284"/>
      <c r="L384" s="193"/>
      <c r="M384" s="180"/>
      <c r="N384" s="180"/>
      <c r="O384" s="180"/>
      <c r="P384" s="180"/>
      <c r="Q384" s="180"/>
      <c r="R384" s="180"/>
      <c r="S384" s="24"/>
      <c r="T384" s="182"/>
      <c r="U384" s="24"/>
      <c r="V384" s="32"/>
      <c r="W384" s="240"/>
      <c r="X384" s="64"/>
      <c r="Y384" s="75"/>
      <c r="Z384" s="64"/>
      <c r="AA384" s="64"/>
      <c r="AB384" s="25"/>
      <c r="AC384" s="23"/>
      <c r="AD384" s="23"/>
      <c r="AE384" s="23"/>
      <c r="AF384" s="335"/>
      <c r="AG384" s="336"/>
      <c r="AH384" s="334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</row>
    <row r="385" spans="1:346" s="26" customFormat="1" ht="12" hidden="1" customHeight="1" x14ac:dyDescent="0.25">
      <c r="A385" s="21"/>
      <c r="B385" s="21"/>
      <c r="C385" s="22"/>
      <c r="D385" s="353"/>
      <c r="E385" s="73"/>
      <c r="F385" s="7"/>
      <c r="G385" s="7"/>
      <c r="H385" s="7"/>
      <c r="I385" s="180"/>
      <c r="J385" s="180"/>
      <c r="K385" s="284"/>
      <c r="L385" s="193"/>
      <c r="M385" s="180"/>
      <c r="N385" s="180"/>
      <c r="O385" s="180"/>
      <c r="P385" s="180"/>
      <c r="Q385" s="180"/>
      <c r="R385" s="180"/>
      <c r="S385" s="24"/>
      <c r="T385" s="182"/>
      <c r="U385" s="24"/>
      <c r="V385" s="32"/>
      <c r="W385" s="240"/>
      <c r="X385" s="64"/>
      <c r="Y385" s="75"/>
      <c r="Z385" s="64"/>
      <c r="AA385" s="64"/>
      <c r="AB385" s="25"/>
      <c r="AC385" s="23"/>
      <c r="AD385" s="23"/>
      <c r="AE385" s="23"/>
      <c r="AF385" s="335"/>
      <c r="AG385" s="336"/>
      <c r="AH385" s="334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</row>
    <row r="386" spans="1:346" s="26" customFormat="1" ht="12" hidden="1" customHeight="1" x14ac:dyDescent="0.25">
      <c r="A386" s="21"/>
      <c r="B386" s="21"/>
      <c r="C386" s="22"/>
      <c r="D386" s="353"/>
      <c r="E386" s="73"/>
      <c r="F386" s="7"/>
      <c r="G386" s="7"/>
      <c r="H386" s="7"/>
      <c r="I386" s="180"/>
      <c r="J386" s="180"/>
      <c r="K386" s="284"/>
      <c r="L386" s="193"/>
      <c r="M386" s="180"/>
      <c r="N386" s="180"/>
      <c r="O386" s="180"/>
      <c r="P386" s="180"/>
      <c r="Q386" s="180"/>
      <c r="R386" s="180"/>
      <c r="S386" s="24"/>
      <c r="T386" s="182"/>
      <c r="U386" s="24"/>
      <c r="V386" s="32"/>
      <c r="W386" s="240"/>
      <c r="X386" s="64"/>
      <c r="Y386" s="75"/>
      <c r="Z386" s="64"/>
      <c r="AA386" s="64"/>
      <c r="AB386" s="25"/>
      <c r="AC386" s="23"/>
      <c r="AD386" s="23"/>
      <c r="AE386" s="23"/>
      <c r="AF386" s="335"/>
      <c r="AG386" s="336"/>
      <c r="AH386" s="334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</row>
    <row r="387" spans="1:346" s="26" customFormat="1" ht="12" hidden="1" customHeight="1" x14ac:dyDescent="0.25">
      <c r="A387" s="21"/>
      <c r="B387" s="21"/>
      <c r="C387" s="22"/>
      <c r="D387" s="353"/>
      <c r="E387" s="73"/>
      <c r="F387" s="7"/>
      <c r="G387" s="7"/>
      <c r="H387" s="7"/>
      <c r="I387" s="180"/>
      <c r="J387" s="180"/>
      <c r="K387" s="284"/>
      <c r="L387" s="193"/>
      <c r="M387" s="180"/>
      <c r="N387" s="180"/>
      <c r="O387" s="180"/>
      <c r="P387" s="180"/>
      <c r="Q387" s="180"/>
      <c r="R387" s="180"/>
      <c r="S387" s="24"/>
      <c r="T387" s="182"/>
      <c r="U387" s="24"/>
      <c r="V387" s="32"/>
      <c r="W387" s="240"/>
      <c r="X387" s="64"/>
      <c r="Y387" s="75"/>
      <c r="Z387" s="64"/>
      <c r="AA387" s="64"/>
      <c r="AB387" s="25"/>
      <c r="AC387" s="23"/>
      <c r="AD387" s="23"/>
      <c r="AE387" s="23"/>
      <c r="AF387" s="335"/>
      <c r="AG387" s="336"/>
      <c r="AH387" s="334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</row>
    <row r="388" spans="1:346" s="26" customFormat="1" ht="12" hidden="1" customHeight="1" x14ac:dyDescent="0.25">
      <c r="A388" s="21"/>
      <c r="B388" s="21"/>
      <c r="C388" s="22"/>
      <c r="D388" s="353"/>
      <c r="E388" s="73"/>
      <c r="F388" s="7"/>
      <c r="G388" s="7"/>
      <c r="H388" s="7"/>
      <c r="I388" s="180"/>
      <c r="J388" s="180"/>
      <c r="K388" s="284"/>
      <c r="L388" s="193"/>
      <c r="M388" s="180"/>
      <c r="N388" s="180"/>
      <c r="O388" s="180"/>
      <c r="P388" s="180"/>
      <c r="Q388" s="180"/>
      <c r="R388" s="180"/>
      <c r="S388" s="24"/>
      <c r="T388" s="182"/>
      <c r="U388" s="24"/>
      <c r="V388" s="32"/>
      <c r="W388" s="240"/>
      <c r="X388" s="64"/>
      <c r="Y388" s="75"/>
      <c r="Z388" s="64"/>
      <c r="AA388" s="64"/>
      <c r="AB388" s="25"/>
      <c r="AC388" s="23"/>
      <c r="AD388" s="23"/>
      <c r="AE388" s="23"/>
      <c r="AF388" s="335"/>
      <c r="AG388" s="336"/>
      <c r="AH388" s="334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</row>
    <row r="389" spans="1:346" s="26" customFormat="1" ht="12" hidden="1" customHeight="1" x14ac:dyDescent="0.25">
      <c r="A389" s="21"/>
      <c r="B389" s="21"/>
      <c r="C389" s="22"/>
      <c r="D389" s="353"/>
      <c r="E389" s="73"/>
      <c r="F389" s="7"/>
      <c r="G389" s="7"/>
      <c r="H389" s="7"/>
      <c r="I389" s="180"/>
      <c r="J389" s="180"/>
      <c r="K389" s="284"/>
      <c r="L389" s="193"/>
      <c r="M389" s="180"/>
      <c r="N389" s="180"/>
      <c r="O389" s="180"/>
      <c r="P389" s="180"/>
      <c r="Q389" s="180"/>
      <c r="R389" s="180"/>
      <c r="S389" s="24"/>
      <c r="T389" s="182"/>
      <c r="U389" s="24"/>
      <c r="V389" s="32"/>
      <c r="W389" s="240"/>
      <c r="X389" s="64"/>
      <c r="Y389" s="75"/>
      <c r="Z389" s="64"/>
      <c r="AA389" s="64"/>
      <c r="AB389" s="25"/>
      <c r="AC389" s="23"/>
      <c r="AD389" s="23"/>
      <c r="AE389" s="23"/>
      <c r="AF389" s="335"/>
      <c r="AG389" s="336"/>
      <c r="AH389" s="334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</row>
    <row r="390" spans="1:346" s="26" customFormat="1" ht="12" hidden="1" customHeight="1" x14ac:dyDescent="0.25">
      <c r="A390" s="21"/>
      <c r="B390" s="21"/>
      <c r="C390" s="22"/>
      <c r="D390" s="353"/>
      <c r="E390" s="73"/>
      <c r="F390" s="7"/>
      <c r="G390" s="7"/>
      <c r="H390" s="7"/>
      <c r="I390" s="180"/>
      <c r="J390" s="180"/>
      <c r="K390" s="284"/>
      <c r="L390" s="193"/>
      <c r="M390" s="180"/>
      <c r="N390" s="180"/>
      <c r="O390" s="180"/>
      <c r="P390" s="180"/>
      <c r="Q390" s="180"/>
      <c r="R390" s="180"/>
      <c r="S390" s="24"/>
      <c r="T390" s="182"/>
      <c r="U390" s="24"/>
      <c r="V390" s="32"/>
      <c r="W390" s="240"/>
      <c r="X390" s="64"/>
      <c r="Y390" s="75"/>
      <c r="Z390" s="64"/>
      <c r="AA390" s="64"/>
      <c r="AB390" s="25"/>
      <c r="AC390" s="23"/>
      <c r="AD390" s="23"/>
      <c r="AE390" s="23"/>
      <c r="AF390" s="335"/>
      <c r="AG390" s="336"/>
      <c r="AH390" s="334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</row>
    <row r="391" spans="1:346" s="26" customFormat="1" ht="12" hidden="1" customHeight="1" x14ac:dyDescent="0.25">
      <c r="A391" s="21"/>
      <c r="B391" s="21"/>
      <c r="C391" s="22"/>
      <c r="D391" s="353"/>
      <c r="E391" s="73"/>
      <c r="F391" s="7"/>
      <c r="G391" s="7"/>
      <c r="H391" s="7"/>
      <c r="I391" s="180"/>
      <c r="J391" s="180"/>
      <c r="K391" s="284"/>
      <c r="L391" s="193"/>
      <c r="M391" s="180"/>
      <c r="N391" s="180"/>
      <c r="O391" s="180"/>
      <c r="P391" s="180"/>
      <c r="Q391" s="180"/>
      <c r="R391" s="180"/>
      <c r="S391" s="24"/>
      <c r="T391" s="182"/>
      <c r="U391" s="24"/>
      <c r="V391" s="32"/>
      <c r="W391" s="240"/>
      <c r="X391" s="64"/>
      <c r="Y391" s="75"/>
      <c r="Z391" s="64"/>
      <c r="AA391" s="64"/>
      <c r="AB391" s="25"/>
      <c r="AC391" s="23"/>
      <c r="AD391" s="23"/>
      <c r="AE391" s="23"/>
      <c r="AF391" s="335"/>
      <c r="AG391" s="336"/>
      <c r="AH391" s="334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</row>
    <row r="392" spans="1:346" s="26" customFormat="1" ht="12" hidden="1" customHeight="1" x14ac:dyDescent="0.25">
      <c r="A392" s="21"/>
      <c r="B392" s="21"/>
      <c r="C392" s="22"/>
      <c r="D392" s="353"/>
      <c r="E392" s="73"/>
      <c r="F392" s="7"/>
      <c r="G392" s="7"/>
      <c r="H392" s="7"/>
      <c r="I392" s="180"/>
      <c r="J392" s="180"/>
      <c r="K392" s="284"/>
      <c r="L392" s="193"/>
      <c r="M392" s="180"/>
      <c r="N392" s="180"/>
      <c r="O392" s="180"/>
      <c r="P392" s="180"/>
      <c r="Q392" s="180"/>
      <c r="R392" s="180"/>
      <c r="S392" s="24"/>
      <c r="T392" s="182"/>
      <c r="U392" s="24"/>
      <c r="V392" s="32"/>
      <c r="W392" s="240"/>
      <c r="X392" s="64"/>
      <c r="Y392" s="75"/>
      <c r="Z392" s="64"/>
      <c r="AA392" s="64"/>
      <c r="AB392" s="25"/>
      <c r="AC392" s="23"/>
      <c r="AD392" s="23"/>
      <c r="AE392" s="23"/>
      <c r="AF392" s="335"/>
      <c r="AG392" s="336"/>
      <c r="AH392" s="334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</row>
    <row r="393" spans="1:346" s="26" customFormat="1" ht="12" hidden="1" customHeight="1" x14ac:dyDescent="0.25">
      <c r="A393" s="21"/>
      <c r="B393" s="21"/>
      <c r="C393" s="22"/>
      <c r="D393" s="353"/>
      <c r="E393" s="73"/>
      <c r="F393" s="7"/>
      <c r="G393" s="7"/>
      <c r="H393" s="7"/>
      <c r="I393" s="180"/>
      <c r="J393" s="180"/>
      <c r="K393" s="284"/>
      <c r="L393" s="193"/>
      <c r="M393" s="180"/>
      <c r="N393" s="180"/>
      <c r="O393" s="180"/>
      <c r="P393" s="180"/>
      <c r="Q393" s="180"/>
      <c r="R393" s="180"/>
      <c r="S393" s="24"/>
      <c r="T393" s="182"/>
      <c r="U393" s="24"/>
      <c r="V393" s="32"/>
      <c r="W393" s="240"/>
      <c r="X393" s="64"/>
      <c r="Y393" s="75"/>
      <c r="Z393" s="64"/>
      <c r="AA393" s="64"/>
      <c r="AB393" s="25"/>
      <c r="AC393" s="23"/>
      <c r="AD393" s="23"/>
      <c r="AE393" s="23"/>
      <c r="AF393" s="335"/>
      <c r="AG393" s="336"/>
      <c r="AH393" s="334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</row>
    <row r="394" spans="1:346" s="26" customFormat="1" ht="12" hidden="1" customHeight="1" x14ac:dyDescent="0.25">
      <c r="A394" s="21"/>
      <c r="B394" s="21"/>
      <c r="C394" s="22"/>
      <c r="D394" s="353"/>
      <c r="E394" s="73"/>
      <c r="F394" s="7"/>
      <c r="G394" s="7"/>
      <c r="H394" s="7"/>
      <c r="I394" s="180"/>
      <c r="J394" s="180"/>
      <c r="K394" s="284"/>
      <c r="L394" s="193"/>
      <c r="M394" s="180"/>
      <c r="N394" s="180"/>
      <c r="O394" s="180"/>
      <c r="P394" s="180"/>
      <c r="Q394" s="180"/>
      <c r="R394" s="180"/>
      <c r="S394" s="24"/>
      <c r="T394" s="182"/>
      <c r="U394" s="24"/>
      <c r="V394" s="32"/>
      <c r="W394" s="240"/>
      <c r="X394" s="64"/>
      <c r="Y394" s="75"/>
      <c r="Z394" s="64"/>
      <c r="AA394" s="64"/>
      <c r="AB394" s="25"/>
      <c r="AC394" s="23"/>
      <c r="AD394" s="23"/>
      <c r="AE394" s="23"/>
      <c r="AF394" s="335"/>
      <c r="AG394" s="336"/>
      <c r="AH394" s="334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</row>
    <row r="395" spans="1:346" s="26" customFormat="1" ht="12" hidden="1" customHeight="1" x14ac:dyDescent="0.25">
      <c r="A395" s="21"/>
      <c r="B395" s="21"/>
      <c r="C395" s="22"/>
      <c r="D395" s="353"/>
      <c r="E395" s="73"/>
      <c r="F395" s="7"/>
      <c r="G395" s="7"/>
      <c r="H395" s="7"/>
      <c r="I395" s="180"/>
      <c r="J395" s="180"/>
      <c r="K395" s="284"/>
      <c r="L395" s="193"/>
      <c r="M395" s="180"/>
      <c r="N395" s="180"/>
      <c r="O395" s="180"/>
      <c r="P395" s="180"/>
      <c r="Q395" s="180"/>
      <c r="R395" s="180"/>
      <c r="S395" s="24"/>
      <c r="T395" s="182"/>
      <c r="U395" s="24"/>
      <c r="V395" s="32"/>
      <c r="W395" s="240"/>
      <c r="X395" s="64"/>
      <c r="Y395" s="75"/>
      <c r="Z395" s="64"/>
      <c r="AA395" s="64"/>
      <c r="AB395" s="25"/>
      <c r="AC395" s="23"/>
      <c r="AD395" s="23"/>
      <c r="AE395" s="23"/>
      <c r="AF395" s="335"/>
      <c r="AG395" s="336"/>
      <c r="AH395" s="334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</row>
    <row r="396" spans="1:346" s="26" customFormat="1" ht="12" hidden="1" customHeight="1" x14ac:dyDescent="0.25">
      <c r="A396" s="21"/>
      <c r="B396" s="21"/>
      <c r="C396" s="22"/>
      <c r="D396" s="353"/>
      <c r="E396" s="73"/>
      <c r="F396" s="7"/>
      <c r="G396" s="7"/>
      <c r="H396" s="7"/>
      <c r="I396" s="180"/>
      <c r="J396" s="180"/>
      <c r="K396" s="284"/>
      <c r="L396" s="193"/>
      <c r="M396" s="180"/>
      <c r="N396" s="180"/>
      <c r="O396" s="180"/>
      <c r="P396" s="180"/>
      <c r="Q396" s="180"/>
      <c r="R396" s="180"/>
      <c r="S396" s="24"/>
      <c r="T396" s="182"/>
      <c r="U396" s="24"/>
      <c r="V396" s="32"/>
      <c r="W396" s="240"/>
      <c r="X396" s="64"/>
      <c r="Y396" s="75"/>
      <c r="Z396" s="64"/>
      <c r="AA396" s="64"/>
      <c r="AB396" s="25"/>
      <c r="AC396" s="23"/>
      <c r="AD396" s="23"/>
      <c r="AE396" s="23"/>
      <c r="AF396" s="335"/>
      <c r="AG396" s="336"/>
      <c r="AH396" s="334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</row>
    <row r="397" spans="1:346" s="26" customFormat="1" ht="12" hidden="1" customHeight="1" x14ac:dyDescent="0.25">
      <c r="A397" s="21"/>
      <c r="B397" s="21"/>
      <c r="C397" s="22"/>
      <c r="D397" s="353"/>
      <c r="E397" s="73"/>
      <c r="F397" s="7"/>
      <c r="G397" s="7"/>
      <c r="H397" s="7"/>
      <c r="I397" s="180"/>
      <c r="J397" s="180"/>
      <c r="K397" s="284"/>
      <c r="L397" s="193"/>
      <c r="M397" s="180"/>
      <c r="N397" s="180"/>
      <c r="O397" s="180"/>
      <c r="P397" s="180"/>
      <c r="Q397" s="180"/>
      <c r="R397" s="180"/>
      <c r="S397" s="24"/>
      <c r="T397" s="182"/>
      <c r="U397" s="24"/>
      <c r="V397" s="32"/>
      <c r="W397" s="240"/>
      <c r="X397" s="64"/>
      <c r="Y397" s="75"/>
      <c r="Z397" s="64"/>
      <c r="AA397" s="64"/>
      <c r="AB397" s="25"/>
      <c r="AC397" s="23"/>
      <c r="AD397" s="23"/>
      <c r="AE397" s="23"/>
      <c r="AF397" s="335"/>
      <c r="AG397" s="336"/>
      <c r="AH397" s="334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</row>
    <row r="398" spans="1:346" s="26" customFormat="1" ht="12" hidden="1" customHeight="1" x14ac:dyDescent="0.25">
      <c r="A398" s="21"/>
      <c r="B398" s="21"/>
      <c r="C398" s="22"/>
      <c r="D398" s="353"/>
      <c r="E398" s="73"/>
      <c r="F398" s="7"/>
      <c r="G398" s="7"/>
      <c r="H398" s="7"/>
      <c r="I398" s="180"/>
      <c r="J398" s="180"/>
      <c r="K398" s="284"/>
      <c r="L398" s="193"/>
      <c r="M398" s="180"/>
      <c r="N398" s="180"/>
      <c r="O398" s="180"/>
      <c r="P398" s="180"/>
      <c r="Q398" s="180"/>
      <c r="R398" s="180"/>
      <c r="S398" s="24"/>
      <c r="T398" s="182"/>
      <c r="U398" s="24"/>
      <c r="V398" s="32"/>
      <c r="W398" s="240"/>
      <c r="X398" s="64"/>
      <c r="Y398" s="75"/>
      <c r="Z398" s="64"/>
      <c r="AA398" s="64"/>
      <c r="AB398" s="25"/>
      <c r="AC398" s="23"/>
      <c r="AD398" s="23"/>
      <c r="AE398" s="23"/>
      <c r="AF398" s="335"/>
      <c r="AG398" s="336"/>
      <c r="AH398" s="334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</row>
    <row r="399" spans="1:346" s="26" customFormat="1" ht="12" hidden="1" customHeight="1" x14ac:dyDescent="0.25">
      <c r="A399" s="21"/>
      <c r="B399" s="21"/>
      <c r="C399" s="22"/>
      <c r="D399" s="353"/>
      <c r="E399" s="73"/>
      <c r="F399" s="7"/>
      <c r="G399" s="7"/>
      <c r="H399" s="7"/>
      <c r="I399" s="180"/>
      <c r="J399" s="180"/>
      <c r="K399" s="284"/>
      <c r="L399" s="193"/>
      <c r="M399" s="180"/>
      <c r="N399" s="180"/>
      <c r="O399" s="180"/>
      <c r="P399" s="180"/>
      <c r="Q399" s="180"/>
      <c r="R399" s="180"/>
      <c r="S399" s="24"/>
      <c r="T399" s="182"/>
      <c r="U399" s="24"/>
      <c r="V399" s="32"/>
      <c r="W399" s="240"/>
      <c r="X399" s="64"/>
      <c r="Y399" s="75"/>
      <c r="Z399" s="64"/>
      <c r="AA399" s="64"/>
      <c r="AB399" s="25"/>
      <c r="AC399" s="23"/>
      <c r="AD399" s="23"/>
      <c r="AE399" s="23"/>
      <c r="AF399" s="335"/>
      <c r="AG399" s="336"/>
      <c r="AH399" s="334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</row>
    <row r="400" spans="1:346" s="26" customFormat="1" ht="12" hidden="1" customHeight="1" x14ac:dyDescent="0.25">
      <c r="A400" s="21"/>
      <c r="B400" s="21"/>
      <c r="C400" s="22"/>
      <c r="D400" s="353"/>
      <c r="E400" s="73"/>
      <c r="F400" s="7"/>
      <c r="G400" s="7"/>
      <c r="H400" s="7"/>
      <c r="I400" s="180"/>
      <c r="J400" s="180"/>
      <c r="K400" s="284"/>
      <c r="L400" s="193"/>
      <c r="M400" s="180"/>
      <c r="N400" s="180"/>
      <c r="O400" s="180"/>
      <c r="P400" s="180"/>
      <c r="Q400" s="180"/>
      <c r="R400" s="180"/>
      <c r="S400" s="24"/>
      <c r="T400" s="182"/>
      <c r="U400" s="24"/>
      <c r="V400" s="32"/>
      <c r="W400" s="240"/>
      <c r="X400" s="64"/>
      <c r="Y400" s="75"/>
      <c r="Z400" s="64"/>
      <c r="AA400" s="64"/>
      <c r="AB400" s="25"/>
      <c r="AC400" s="23"/>
      <c r="AD400" s="23"/>
      <c r="AE400" s="23"/>
      <c r="AF400" s="335"/>
      <c r="AG400" s="336"/>
      <c r="AH400" s="334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</row>
    <row r="401" spans="1:346" s="26" customFormat="1" ht="12" hidden="1" customHeight="1" x14ac:dyDescent="0.25">
      <c r="A401" s="21"/>
      <c r="B401" s="21"/>
      <c r="C401" s="22"/>
      <c r="D401" s="353"/>
      <c r="E401" s="73"/>
      <c r="F401" s="7"/>
      <c r="G401" s="7"/>
      <c r="H401" s="7"/>
      <c r="I401" s="180"/>
      <c r="J401" s="180"/>
      <c r="K401" s="284"/>
      <c r="L401" s="193"/>
      <c r="M401" s="180"/>
      <c r="N401" s="180"/>
      <c r="O401" s="180"/>
      <c r="P401" s="180"/>
      <c r="Q401" s="180"/>
      <c r="R401" s="180"/>
      <c r="S401" s="24"/>
      <c r="T401" s="182"/>
      <c r="U401" s="24"/>
      <c r="V401" s="32"/>
      <c r="W401" s="240"/>
      <c r="X401" s="64"/>
      <c r="Y401" s="75"/>
      <c r="Z401" s="64"/>
      <c r="AA401" s="64"/>
      <c r="AB401" s="25"/>
      <c r="AC401" s="23"/>
      <c r="AD401" s="23"/>
      <c r="AE401" s="23"/>
      <c r="AF401" s="335"/>
      <c r="AG401" s="336"/>
      <c r="AH401" s="334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</row>
    <row r="402" spans="1:346" s="26" customFormat="1" ht="12" hidden="1" customHeight="1" x14ac:dyDescent="0.25">
      <c r="A402" s="21"/>
      <c r="B402" s="21"/>
      <c r="C402" s="22"/>
      <c r="D402" s="353"/>
      <c r="E402" s="73"/>
      <c r="F402" s="7"/>
      <c r="G402" s="7"/>
      <c r="H402" s="7"/>
      <c r="I402" s="180"/>
      <c r="J402" s="180"/>
      <c r="K402" s="284"/>
      <c r="L402" s="193"/>
      <c r="M402" s="180"/>
      <c r="N402" s="180"/>
      <c r="O402" s="180"/>
      <c r="P402" s="180"/>
      <c r="Q402" s="180"/>
      <c r="R402" s="180"/>
      <c r="S402" s="24"/>
      <c r="T402" s="182"/>
      <c r="U402" s="24"/>
      <c r="V402" s="32"/>
      <c r="W402" s="240"/>
      <c r="X402" s="64"/>
      <c r="Y402" s="75"/>
      <c r="Z402" s="64"/>
      <c r="AA402" s="64"/>
      <c r="AB402" s="25"/>
      <c r="AC402" s="23"/>
      <c r="AD402" s="23"/>
      <c r="AE402" s="23"/>
      <c r="AF402" s="335"/>
      <c r="AG402" s="336"/>
      <c r="AH402" s="334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</row>
    <row r="403" spans="1:346" s="26" customFormat="1" ht="12" hidden="1" customHeight="1" x14ac:dyDescent="0.25">
      <c r="A403" s="21"/>
      <c r="B403" s="21"/>
      <c r="C403" s="22"/>
      <c r="D403" s="353"/>
      <c r="E403" s="73"/>
      <c r="F403" s="7"/>
      <c r="G403" s="7"/>
      <c r="H403" s="7"/>
      <c r="I403" s="180"/>
      <c r="J403" s="180"/>
      <c r="K403" s="284"/>
      <c r="L403" s="193"/>
      <c r="M403" s="180"/>
      <c r="N403" s="180"/>
      <c r="O403" s="180"/>
      <c r="P403" s="180"/>
      <c r="Q403" s="180"/>
      <c r="R403" s="180"/>
      <c r="S403" s="24"/>
      <c r="T403" s="182"/>
      <c r="U403" s="24"/>
      <c r="V403" s="32"/>
      <c r="W403" s="240"/>
      <c r="X403" s="64"/>
      <c r="Y403" s="75"/>
      <c r="Z403" s="64"/>
      <c r="AA403" s="64"/>
      <c r="AB403" s="25"/>
      <c r="AC403" s="23"/>
      <c r="AD403" s="23"/>
      <c r="AE403" s="23"/>
      <c r="AF403" s="335"/>
      <c r="AG403" s="336"/>
      <c r="AH403" s="334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</row>
    <row r="404" spans="1:346" s="26" customFormat="1" ht="12" hidden="1" customHeight="1" x14ac:dyDescent="0.25">
      <c r="A404" s="21"/>
      <c r="B404" s="21"/>
      <c r="C404" s="22"/>
      <c r="D404" s="353"/>
      <c r="E404" s="73"/>
      <c r="F404" s="7"/>
      <c r="G404" s="7"/>
      <c r="H404" s="7"/>
      <c r="I404" s="180"/>
      <c r="J404" s="180"/>
      <c r="K404" s="284"/>
      <c r="L404" s="193"/>
      <c r="M404" s="180"/>
      <c r="N404" s="180"/>
      <c r="O404" s="180"/>
      <c r="P404" s="180"/>
      <c r="Q404" s="180"/>
      <c r="R404" s="180"/>
      <c r="S404" s="24"/>
      <c r="T404" s="182"/>
      <c r="U404" s="24"/>
      <c r="V404" s="32"/>
      <c r="W404" s="240"/>
      <c r="X404" s="64"/>
      <c r="Y404" s="75"/>
      <c r="Z404" s="64"/>
      <c r="AA404" s="64"/>
      <c r="AB404" s="25"/>
      <c r="AC404" s="23"/>
      <c r="AD404" s="23"/>
      <c r="AE404" s="23"/>
      <c r="AF404" s="335"/>
      <c r="AG404" s="336"/>
      <c r="AH404" s="334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</row>
    <row r="405" spans="1:346" s="26" customFormat="1" ht="12" hidden="1" customHeight="1" x14ac:dyDescent="0.25">
      <c r="A405" s="21"/>
      <c r="B405" s="21"/>
      <c r="C405" s="22"/>
      <c r="D405" s="353"/>
      <c r="E405" s="73"/>
      <c r="F405" s="7"/>
      <c r="G405" s="7"/>
      <c r="H405" s="7"/>
      <c r="I405" s="180"/>
      <c r="J405" s="180"/>
      <c r="K405" s="284"/>
      <c r="L405" s="193"/>
      <c r="M405" s="180"/>
      <c r="N405" s="180"/>
      <c r="O405" s="180"/>
      <c r="P405" s="180"/>
      <c r="Q405" s="180"/>
      <c r="R405" s="180"/>
      <c r="S405" s="24"/>
      <c r="T405" s="182"/>
      <c r="U405" s="24"/>
      <c r="V405" s="32"/>
      <c r="W405" s="240"/>
      <c r="X405" s="64"/>
      <c r="Y405" s="75"/>
      <c r="Z405" s="64"/>
      <c r="AA405" s="64"/>
      <c r="AB405" s="25"/>
      <c r="AC405" s="23"/>
      <c r="AD405" s="23"/>
      <c r="AE405" s="23"/>
      <c r="AF405" s="335"/>
      <c r="AG405" s="336"/>
      <c r="AH405" s="334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</row>
    <row r="406" spans="1:346" s="26" customFormat="1" ht="12" hidden="1" customHeight="1" x14ac:dyDescent="0.25">
      <c r="A406" s="21"/>
      <c r="B406" s="21"/>
      <c r="C406" s="22"/>
      <c r="D406" s="353"/>
      <c r="E406" s="73"/>
      <c r="F406" s="7"/>
      <c r="G406" s="7"/>
      <c r="H406" s="7"/>
      <c r="I406" s="180"/>
      <c r="J406" s="180"/>
      <c r="K406" s="284"/>
      <c r="L406" s="193"/>
      <c r="M406" s="180"/>
      <c r="N406" s="180"/>
      <c r="O406" s="180"/>
      <c r="P406" s="180"/>
      <c r="Q406" s="180"/>
      <c r="R406" s="180"/>
      <c r="S406" s="24"/>
      <c r="T406" s="182"/>
      <c r="U406" s="24"/>
      <c r="V406" s="32"/>
      <c r="W406" s="240"/>
      <c r="X406" s="64"/>
      <c r="Y406" s="75"/>
      <c r="Z406" s="64"/>
      <c r="AA406" s="64"/>
      <c r="AB406" s="25"/>
      <c r="AC406" s="23"/>
      <c r="AD406" s="23"/>
      <c r="AE406" s="23"/>
      <c r="AF406" s="335"/>
      <c r="AG406" s="336"/>
      <c r="AH406" s="334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</row>
    <row r="407" spans="1:346" s="26" customFormat="1" ht="12" hidden="1" customHeight="1" x14ac:dyDescent="0.25">
      <c r="A407" s="21"/>
      <c r="B407" s="21"/>
      <c r="C407" s="22"/>
      <c r="D407" s="353"/>
      <c r="E407" s="73"/>
      <c r="F407" s="7"/>
      <c r="G407" s="7"/>
      <c r="H407" s="7"/>
      <c r="I407" s="180"/>
      <c r="J407" s="180"/>
      <c r="K407" s="284"/>
      <c r="L407" s="193"/>
      <c r="M407" s="180"/>
      <c r="N407" s="180"/>
      <c r="O407" s="180"/>
      <c r="P407" s="180"/>
      <c r="Q407" s="180"/>
      <c r="R407" s="180"/>
      <c r="S407" s="24"/>
      <c r="T407" s="182"/>
      <c r="U407" s="24"/>
      <c r="V407" s="32"/>
      <c r="W407" s="240"/>
      <c r="X407" s="64"/>
      <c r="Y407" s="75"/>
      <c r="Z407" s="64"/>
      <c r="AA407" s="64"/>
      <c r="AB407" s="25"/>
      <c r="AC407" s="23"/>
      <c r="AD407" s="23"/>
      <c r="AE407" s="23"/>
      <c r="AF407" s="335"/>
      <c r="AG407" s="336"/>
      <c r="AH407" s="334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</row>
    <row r="408" spans="1:346" s="26" customFormat="1" ht="12" hidden="1" customHeight="1" x14ac:dyDescent="0.25">
      <c r="A408" s="21"/>
      <c r="B408" s="21"/>
      <c r="C408" s="22"/>
      <c r="D408" s="353"/>
      <c r="E408" s="73"/>
      <c r="F408" s="7"/>
      <c r="G408" s="7"/>
      <c r="H408" s="7"/>
      <c r="I408" s="180"/>
      <c r="J408" s="180"/>
      <c r="K408" s="284"/>
      <c r="L408" s="193"/>
      <c r="M408" s="180"/>
      <c r="N408" s="180"/>
      <c r="O408" s="180"/>
      <c r="P408" s="180"/>
      <c r="Q408" s="180"/>
      <c r="R408" s="180"/>
      <c r="S408" s="24"/>
      <c r="T408" s="182"/>
      <c r="U408" s="24"/>
      <c r="V408" s="32"/>
      <c r="W408" s="240"/>
      <c r="X408" s="64"/>
      <c r="Y408" s="75"/>
      <c r="Z408" s="64"/>
      <c r="AA408" s="64"/>
      <c r="AB408" s="25"/>
      <c r="AC408" s="23"/>
      <c r="AD408" s="23"/>
      <c r="AE408" s="23"/>
      <c r="AF408" s="335"/>
      <c r="AG408" s="336"/>
      <c r="AH408" s="334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</row>
    <row r="409" spans="1:346" s="26" customFormat="1" ht="12" hidden="1" customHeight="1" x14ac:dyDescent="0.25">
      <c r="A409" s="21"/>
      <c r="B409" s="21"/>
      <c r="C409" s="22"/>
      <c r="D409" s="353"/>
      <c r="E409" s="73"/>
      <c r="F409" s="7"/>
      <c r="G409" s="7"/>
      <c r="H409" s="7"/>
      <c r="I409" s="180"/>
      <c r="J409" s="180"/>
      <c r="K409" s="284"/>
      <c r="L409" s="193"/>
      <c r="M409" s="180"/>
      <c r="N409" s="180"/>
      <c r="O409" s="180"/>
      <c r="P409" s="180"/>
      <c r="Q409" s="180"/>
      <c r="R409" s="180"/>
      <c r="S409" s="24"/>
      <c r="T409" s="182"/>
      <c r="U409" s="24"/>
      <c r="V409" s="32"/>
      <c r="W409" s="240"/>
      <c r="X409" s="64"/>
      <c r="Y409" s="75"/>
      <c r="Z409" s="64"/>
      <c r="AA409" s="64"/>
      <c r="AB409" s="25"/>
      <c r="AC409" s="23"/>
      <c r="AD409" s="23"/>
      <c r="AE409" s="23"/>
      <c r="AF409" s="335"/>
      <c r="AG409" s="336"/>
      <c r="AH409" s="334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</row>
    <row r="410" spans="1:346" s="26" customFormat="1" ht="12" hidden="1" customHeight="1" x14ac:dyDescent="0.25">
      <c r="A410" s="21"/>
      <c r="B410" s="21"/>
      <c r="C410" s="22"/>
      <c r="D410" s="353"/>
      <c r="E410" s="73"/>
      <c r="F410" s="7"/>
      <c r="G410" s="7"/>
      <c r="H410" s="7"/>
      <c r="I410" s="180"/>
      <c r="J410" s="180"/>
      <c r="K410" s="284"/>
      <c r="L410" s="193"/>
      <c r="M410" s="180"/>
      <c r="N410" s="180"/>
      <c r="O410" s="180"/>
      <c r="P410" s="180"/>
      <c r="Q410" s="180"/>
      <c r="R410" s="180"/>
      <c r="S410" s="24"/>
      <c r="T410" s="182"/>
      <c r="U410" s="24"/>
      <c r="V410" s="32"/>
      <c r="W410" s="240"/>
      <c r="X410" s="64"/>
      <c r="Y410" s="75"/>
      <c r="Z410" s="64"/>
      <c r="AA410" s="64"/>
      <c r="AB410" s="25"/>
      <c r="AC410" s="23"/>
      <c r="AD410" s="23"/>
      <c r="AE410" s="23"/>
      <c r="AF410" s="335"/>
      <c r="AG410" s="336"/>
      <c r="AH410" s="334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</row>
    <row r="411" spans="1:346" s="26" customFormat="1" ht="12" hidden="1" customHeight="1" x14ac:dyDescent="0.25">
      <c r="A411" s="21"/>
      <c r="B411" s="21"/>
      <c r="C411" s="22"/>
      <c r="D411" s="353"/>
      <c r="E411" s="73"/>
      <c r="F411" s="7"/>
      <c r="G411" s="7"/>
      <c r="H411" s="7"/>
      <c r="I411" s="180"/>
      <c r="J411" s="180"/>
      <c r="K411" s="284"/>
      <c r="L411" s="193"/>
      <c r="M411" s="180"/>
      <c r="N411" s="180"/>
      <c r="O411" s="180"/>
      <c r="P411" s="180"/>
      <c r="Q411" s="180"/>
      <c r="R411" s="180"/>
      <c r="S411" s="24"/>
      <c r="T411" s="182"/>
      <c r="U411" s="24"/>
      <c r="V411" s="32"/>
      <c r="W411" s="240"/>
      <c r="X411" s="64"/>
      <c r="Y411" s="75"/>
      <c r="Z411" s="64"/>
      <c r="AA411" s="64"/>
      <c r="AB411" s="25"/>
      <c r="AC411" s="23"/>
      <c r="AD411" s="23"/>
      <c r="AE411" s="23"/>
      <c r="AF411" s="335"/>
      <c r="AG411" s="336"/>
      <c r="AH411" s="334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</row>
    <row r="412" spans="1:346" s="26" customFormat="1" ht="12" hidden="1" customHeight="1" x14ac:dyDescent="0.25">
      <c r="A412" s="21"/>
      <c r="B412" s="21"/>
      <c r="C412" s="22"/>
      <c r="D412" s="353"/>
      <c r="E412" s="73"/>
      <c r="F412" s="7"/>
      <c r="G412" s="7"/>
      <c r="H412" s="7"/>
      <c r="I412" s="180"/>
      <c r="J412" s="180"/>
      <c r="K412" s="284"/>
      <c r="L412" s="193"/>
      <c r="M412" s="180"/>
      <c r="N412" s="180"/>
      <c r="O412" s="180"/>
      <c r="P412" s="180"/>
      <c r="Q412" s="180"/>
      <c r="R412" s="180"/>
      <c r="S412" s="24"/>
      <c r="T412" s="182"/>
      <c r="U412" s="24"/>
      <c r="V412" s="32"/>
      <c r="W412" s="240"/>
      <c r="X412" s="64"/>
      <c r="Y412" s="75"/>
      <c r="Z412" s="64"/>
      <c r="AA412" s="64"/>
      <c r="AB412" s="25"/>
      <c r="AC412" s="23"/>
      <c r="AD412" s="23"/>
      <c r="AE412" s="23"/>
      <c r="AF412" s="335"/>
      <c r="AG412" s="336"/>
      <c r="AH412" s="334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</row>
    <row r="413" spans="1:346" s="26" customFormat="1" ht="12" hidden="1" customHeight="1" x14ac:dyDescent="0.25">
      <c r="A413" s="21"/>
      <c r="B413" s="21"/>
      <c r="C413" s="22"/>
      <c r="D413" s="353"/>
      <c r="E413" s="73"/>
      <c r="F413" s="7"/>
      <c r="G413" s="7"/>
      <c r="H413" s="7"/>
      <c r="I413" s="180"/>
      <c r="J413" s="180"/>
      <c r="K413" s="284"/>
      <c r="L413" s="193"/>
      <c r="M413" s="180"/>
      <c r="N413" s="180"/>
      <c r="O413" s="180"/>
      <c r="P413" s="180"/>
      <c r="Q413" s="180"/>
      <c r="R413" s="180"/>
      <c r="S413" s="24"/>
      <c r="T413" s="182"/>
      <c r="U413" s="24"/>
      <c r="V413" s="32"/>
      <c r="W413" s="240"/>
      <c r="X413" s="64"/>
      <c r="Y413" s="75"/>
      <c r="Z413" s="64"/>
      <c r="AA413" s="64"/>
      <c r="AB413" s="25"/>
      <c r="AC413" s="23"/>
      <c r="AD413" s="23"/>
      <c r="AE413" s="23"/>
      <c r="AF413" s="335"/>
      <c r="AG413" s="336"/>
      <c r="AH413" s="334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</row>
    <row r="414" spans="1:346" s="26" customFormat="1" ht="12" hidden="1" customHeight="1" x14ac:dyDescent="0.25">
      <c r="A414" s="21"/>
      <c r="B414" s="21"/>
      <c r="C414" s="22"/>
      <c r="D414" s="353"/>
      <c r="E414" s="73"/>
      <c r="F414" s="7"/>
      <c r="G414" s="7"/>
      <c r="H414" s="7"/>
      <c r="I414" s="180"/>
      <c r="J414" s="180"/>
      <c r="K414" s="284"/>
      <c r="L414" s="193"/>
      <c r="M414" s="180"/>
      <c r="N414" s="180"/>
      <c r="O414" s="180"/>
      <c r="P414" s="180"/>
      <c r="Q414" s="180"/>
      <c r="R414" s="180"/>
      <c r="S414" s="24"/>
      <c r="T414" s="182"/>
      <c r="U414" s="24"/>
      <c r="V414" s="32"/>
      <c r="W414" s="240"/>
      <c r="X414" s="64"/>
      <c r="Y414" s="75"/>
      <c r="Z414" s="64"/>
      <c r="AA414" s="64"/>
      <c r="AB414" s="25"/>
      <c r="AC414" s="23"/>
      <c r="AD414" s="23"/>
      <c r="AE414" s="23"/>
      <c r="AF414" s="335"/>
      <c r="AG414" s="336"/>
      <c r="AH414" s="334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</row>
    <row r="415" spans="1:346" s="26" customFormat="1" ht="12" hidden="1" customHeight="1" x14ac:dyDescent="0.25">
      <c r="A415" s="21"/>
      <c r="B415" s="21"/>
      <c r="C415" s="22"/>
      <c r="D415" s="353"/>
      <c r="E415" s="73"/>
      <c r="F415" s="7"/>
      <c r="G415" s="7"/>
      <c r="H415" s="7"/>
      <c r="I415" s="180"/>
      <c r="J415" s="180"/>
      <c r="K415" s="284"/>
      <c r="L415" s="193"/>
      <c r="M415" s="180"/>
      <c r="N415" s="180"/>
      <c r="O415" s="180"/>
      <c r="P415" s="180"/>
      <c r="Q415" s="180"/>
      <c r="R415" s="180"/>
      <c r="S415" s="24"/>
      <c r="T415" s="182"/>
      <c r="U415" s="24"/>
      <c r="V415" s="32"/>
      <c r="W415" s="240"/>
      <c r="X415" s="64"/>
      <c r="Y415" s="75"/>
      <c r="Z415" s="64"/>
      <c r="AA415" s="64"/>
      <c r="AB415" s="25"/>
      <c r="AC415" s="23"/>
      <c r="AD415" s="23"/>
      <c r="AE415" s="23"/>
      <c r="AF415" s="335"/>
      <c r="AG415" s="336"/>
      <c r="AH415" s="334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</row>
    <row r="416" spans="1:346" s="26" customFormat="1" ht="12" hidden="1" customHeight="1" x14ac:dyDescent="0.25">
      <c r="A416" s="21"/>
      <c r="B416" s="21"/>
      <c r="C416" s="22"/>
      <c r="D416" s="353"/>
      <c r="E416" s="73"/>
      <c r="F416" s="7"/>
      <c r="G416" s="7"/>
      <c r="H416" s="7"/>
      <c r="I416" s="180"/>
      <c r="J416" s="180"/>
      <c r="K416" s="284"/>
      <c r="L416" s="193"/>
      <c r="M416" s="180"/>
      <c r="N416" s="180"/>
      <c r="O416" s="180"/>
      <c r="P416" s="180"/>
      <c r="Q416" s="180"/>
      <c r="R416" s="180"/>
      <c r="S416" s="24"/>
      <c r="T416" s="182"/>
      <c r="U416" s="24"/>
      <c r="V416" s="32"/>
      <c r="W416" s="240"/>
      <c r="X416" s="64"/>
      <c r="Y416" s="75"/>
      <c r="Z416" s="64"/>
      <c r="AA416" s="64"/>
      <c r="AB416" s="25"/>
      <c r="AC416" s="23"/>
      <c r="AD416" s="23"/>
      <c r="AE416" s="23"/>
      <c r="AF416" s="335"/>
      <c r="AG416" s="336"/>
      <c r="AH416" s="334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</row>
    <row r="417" spans="1:346" s="26" customFormat="1" ht="12" hidden="1" customHeight="1" x14ac:dyDescent="0.25">
      <c r="A417" s="21"/>
      <c r="B417" s="21"/>
      <c r="C417" s="22"/>
      <c r="D417" s="353"/>
      <c r="E417" s="73"/>
      <c r="F417" s="7"/>
      <c r="G417" s="7"/>
      <c r="H417" s="7"/>
      <c r="I417" s="180"/>
      <c r="J417" s="180"/>
      <c r="K417" s="284"/>
      <c r="L417" s="193"/>
      <c r="M417" s="180"/>
      <c r="N417" s="180"/>
      <c r="O417" s="180"/>
      <c r="P417" s="180"/>
      <c r="Q417" s="180"/>
      <c r="R417" s="180"/>
      <c r="S417" s="24"/>
      <c r="T417" s="182"/>
      <c r="U417" s="24"/>
      <c r="V417" s="32"/>
      <c r="W417" s="240"/>
      <c r="X417" s="64"/>
      <c r="Y417" s="75"/>
      <c r="Z417" s="64"/>
      <c r="AA417" s="64"/>
      <c r="AB417" s="25"/>
      <c r="AC417" s="23"/>
      <c r="AD417" s="23"/>
      <c r="AE417" s="23"/>
      <c r="AF417" s="335"/>
      <c r="AG417" s="336"/>
      <c r="AH417" s="334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</row>
    <row r="418" spans="1:346" s="26" customFormat="1" ht="12" hidden="1" customHeight="1" x14ac:dyDescent="0.25">
      <c r="A418" s="21"/>
      <c r="B418" s="21"/>
      <c r="C418" s="22"/>
      <c r="D418" s="353"/>
      <c r="E418" s="73"/>
      <c r="F418" s="7"/>
      <c r="G418" s="7"/>
      <c r="H418" s="7"/>
      <c r="I418" s="180"/>
      <c r="J418" s="180"/>
      <c r="K418" s="284"/>
      <c r="L418" s="193"/>
      <c r="M418" s="180"/>
      <c r="N418" s="180"/>
      <c r="O418" s="180"/>
      <c r="P418" s="180"/>
      <c r="Q418" s="180"/>
      <c r="R418" s="180"/>
      <c r="S418" s="24"/>
      <c r="T418" s="182"/>
      <c r="U418" s="24"/>
      <c r="V418" s="32"/>
      <c r="W418" s="240"/>
      <c r="X418" s="64"/>
      <c r="Y418" s="75"/>
      <c r="Z418" s="64"/>
      <c r="AA418" s="64"/>
      <c r="AB418" s="25"/>
      <c r="AC418" s="23"/>
      <c r="AD418" s="23"/>
      <c r="AE418" s="23"/>
      <c r="AF418" s="335"/>
      <c r="AG418" s="336"/>
      <c r="AH418" s="334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</row>
    <row r="419" spans="1:346" s="26" customFormat="1" ht="12" hidden="1" customHeight="1" x14ac:dyDescent="0.25">
      <c r="A419" s="21"/>
      <c r="B419" s="21"/>
      <c r="C419" s="22"/>
      <c r="D419" s="353"/>
      <c r="E419" s="73"/>
      <c r="F419" s="7"/>
      <c r="G419" s="7"/>
      <c r="H419" s="7"/>
      <c r="I419" s="180"/>
      <c r="J419" s="180"/>
      <c r="K419" s="284"/>
      <c r="L419" s="193"/>
      <c r="M419" s="180"/>
      <c r="N419" s="180"/>
      <c r="O419" s="180"/>
      <c r="P419" s="180"/>
      <c r="Q419" s="180"/>
      <c r="R419" s="180"/>
      <c r="S419" s="24"/>
      <c r="T419" s="182"/>
      <c r="U419" s="24"/>
      <c r="V419" s="32"/>
      <c r="W419" s="240"/>
      <c r="X419" s="64"/>
      <c r="Y419" s="75"/>
      <c r="Z419" s="64"/>
      <c r="AA419" s="64"/>
      <c r="AB419" s="25"/>
      <c r="AC419" s="23"/>
      <c r="AD419" s="23"/>
      <c r="AE419" s="23"/>
      <c r="AF419" s="335"/>
      <c r="AG419" s="336"/>
      <c r="AH419" s="334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</row>
    <row r="420" spans="1:346" s="26" customFormat="1" ht="12" hidden="1" customHeight="1" x14ac:dyDescent="0.25">
      <c r="A420" s="21"/>
      <c r="B420" s="21"/>
      <c r="C420" s="22"/>
      <c r="D420" s="353"/>
      <c r="E420" s="73"/>
      <c r="F420" s="7"/>
      <c r="G420" s="7"/>
      <c r="H420" s="7"/>
      <c r="I420" s="180"/>
      <c r="J420" s="180"/>
      <c r="K420" s="284"/>
      <c r="L420" s="193"/>
      <c r="M420" s="180"/>
      <c r="N420" s="180"/>
      <c r="O420" s="180"/>
      <c r="P420" s="180"/>
      <c r="Q420" s="180"/>
      <c r="R420" s="180"/>
      <c r="S420" s="24"/>
      <c r="T420" s="182"/>
      <c r="U420" s="24"/>
      <c r="V420" s="32"/>
      <c r="W420" s="240"/>
      <c r="X420" s="64"/>
      <c r="Y420" s="75"/>
      <c r="Z420" s="64"/>
      <c r="AA420" s="64"/>
      <c r="AB420" s="25"/>
      <c r="AC420" s="23"/>
      <c r="AD420" s="23"/>
      <c r="AE420" s="23"/>
      <c r="AF420" s="335"/>
      <c r="AG420" s="336"/>
      <c r="AH420" s="334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</row>
    <row r="421" spans="1:346" s="26" customFormat="1" ht="12" hidden="1" customHeight="1" x14ac:dyDescent="0.25">
      <c r="A421" s="21"/>
      <c r="B421" s="21"/>
      <c r="C421" s="22"/>
      <c r="D421" s="353"/>
      <c r="E421" s="73"/>
      <c r="F421" s="7"/>
      <c r="G421" s="7"/>
      <c r="H421" s="7"/>
      <c r="I421" s="180"/>
      <c r="J421" s="180"/>
      <c r="K421" s="284"/>
      <c r="L421" s="193"/>
      <c r="M421" s="180"/>
      <c r="N421" s="180"/>
      <c r="O421" s="180"/>
      <c r="P421" s="180"/>
      <c r="Q421" s="180"/>
      <c r="R421" s="180"/>
      <c r="S421" s="24"/>
      <c r="T421" s="182"/>
      <c r="U421" s="24"/>
      <c r="V421" s="32"/>
      <c r="W421" s="240"/>
      <c r="X421" s="64"/>
      <c r="Y421" s="75"/>
      <c r="Z421" s="64"/>
      <c r="AA421" s="64"/>
      <c r="AB421" s="25"/>
      <c r="AC421" s="23"/>
      <c r="AD421" s="23"/>
      <c r="AE421" s="23"/>
      <c r="AF421" s="335"/>
      <c r="AG421" s="336"/>
      <c r="AH421" s="334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</row>
    <row r="422" spans="1:346" s="26" customFormat="1" ht="12" hidden="1" customHeight="1" x14ac:dyDescent="0.25">
      <c r="A422" s="21"/>
      <c r="B422" s="21"/>
      <c r="C422" s="22"/>
      <c r="D422" s="353"/>
      <c r="E422" s="73"/>
      <c r="F422" s="7"/>
      <c r="G422" s="7"/>
      <c r="H422" s="7"/>
      <c r="I422" s="180"/>
      <c r="J422" s="180"/>
      <c r="K422" s="284"/>
      <c r="L422" s="193"/>
      <c r="M422" s="180"/>
      <c r="N422" s="180"/>
      <c r="O422" s="180"/>
      <c r="P422" s="180"/>
      <c r="Q422" s="180"/>
      <c r="R422" s="180"/>
      <c r="S422" s="24"/>
      <c r="T422" s="182"/>
      <c r="U422" s="24"/>
      <c r="V422" s="32"/>
      <c r="W422" s="240"/>
      <c r="X422" s="64"/>
      <c r="Y422" s="75"/>
      <c r="Z422" s="64"/>
      <c r="AA422" s="64"/>
      <c r="AB422" s="25"/>
      <c r="AC422" s="23"/>
      <c r="AD422" s="23"/>
      <c r="AE422" s="23"/>
      <c r="AF422" s="335"/>
      <c r="AG422" s="336"/>
      <c r="AH422" s="334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</row>
    <row r="423" spans="1:346" s="26" customFormat="1" ht="12" hidden="1" customHeight="1" x14ac:dyDescent="0.25">
      <c r="A423" s="21"/>
      <c r="B423" s="21"/>
      <c r="C423" s="22"/>
      <c r="D423" s="353"/>
      <c r="E423" s="73"/>
      <c r="F423" s="7"/>
      <c r="G423" s="7"/>
      <c r="H423" s="7"/>
      <c r="I423" s="180"/>
      <c r="J423" s="180"/>
      <c r="K423" s="284"/>
      <c r="L423" s="193"/>
      <c r="M423" s="180"/>
      <c r="N423" s="180"/>
      <c r="O423" s="180"/>
      <c r="P423" s="180"/>
      <c r="Q423" s="180"/>
      <c r="R423" s="180"/>
      <c r="S423" s="24"/>
      <c r="T423" s="182"/>
      <c r="U423" s="24"/>
      <c r="V423" s="32"/>
      <c r="W423" s="240"/>
      <c r="X423" s="64"/>
      <c r="Y423" s="75"/>
      <c r="Z423" s="64"/>
      <c r="AA423" s="64"/>
      <c r="AB423" s="25"/>
      <c r="AC423" s="23"/>
      <c r="AD423" s="23"/>
      <c r="AE423" s="23"/>
      <c r="AF423" s="335"/>
      <c r="AG423" s="336"/>
      <c r="AH423" s="334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</row>
    <row r="424" spans="1:346" s="26" customFormat="1" ht="12" hidden="1" customHeight="1" x14ac:dyDescent="0.25">
      <c r="A424" s="21"/>
      <c r="B424" s="21"/>
      <c r="C424" s="22"/>
      <c r="D424" s="353"/>
      <c r="E424" s="73"/>
      <c r="F424" s="7"/>
      <c r="G424" s="7"/>
      <c r="H424" s="7"/>
      <c r="I424" s="180"/>
      <c r="J424" s="180"/>
      <c r="K424" s="284"/>
      <c r="L424" s="193"/>
      <c r="M424" s="180"/>
      <c r="N424" s="180"/>
      <c r="O424" s="180"/>
      <c r="P424" s="180"/>
      <c r="Q424" s="180"/>
      <c r="R424" s="180"/>
      <c r="S424" s="24"/>
      <c r="T424" s="182"/>
      <c r="U424" s="24"/>
      <c r="V424" s="32"/>
      <c r="W424" s="240"/>
      <c r="X424" s="64"/>
      <c r="Y424" s="75"/>
      <c r="Z424" s="64"/>
      <c r="AA424" s="64"/>
      <c r="AB424" s="25"/>
      <c r="AC424" s="23"/>
      <c r="AD424" s="23"/>
      <c r="AE424" s="23"/>
      <c r="AF424" s="335"/>
      <c r="AG424" s="336"/>
      <c r="AH424" s="334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</row>
    <row r="425" spans="1:346" s="26" customFormat="1" ht="12" hidden="1" customHeight="1" x14ac:dyDescent="0.25">
      <c r="A425" s="21"/>
      <c r="B425" s="21"/>
      <c r="C425" s="22"/>
      <c r="D425" s="353"/>
      <c r="E425" s="73"/>
      <c r="F425" s="7"/>
      <c r="G425" s="7"/>
      <c r="H425" s="7"/>
      <c r="I425" s="180"/>
      <c r="J425" s="180"/>
      <c r="K425" s="284"/>
      <c r="L425" s="193"/>
      <c r="M425" s="180"/>
      <c r="N425" s="180"/>
      <c r="O425" s="180"/>
      <c r="P425" s="180"/>
      <c r="Q425" s="180"/>
      <c r="R425" s="180"/>
      <c r="S425" s="24"/>
      <c r="T425" s="182"/>
      <c r="U425" s="24"/>
      <c r="V425" s="32"/>
      <c r="W425" s="240"/>
      <c r="X425" s="64"/>
      <c r="Y425" s="75"/>
      <c r="Z425" s="64"/>
      <c r="AA425" s="64"/>
      <c r="AB425" s="25"/>
      <c r="AC425" s="23"/>
      <c r="AD425" s="23"/>
      <c r="AE425" s="23"/>
      <c r="AF425" s="335"/>
      <c r="AG425" s="336"/>
      <c r="AH425" s="334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</row>
    <row r="426" spans="1:346" s="26" customFormat="1" ht="12" hidden="1" customHeight="1" x14ac:dyDescent="0.25">
      <c r="A426" s="21"/>
      <c r="B426" s="21"/>
      <c r="C426" s="22"/>
      <c r="D426" s="353"/>
      <c r="E426" s="73"/>
      <c r="F426" s="7"/>
      <c r="G426" s="7"/>
      <c r="H426" s="7"/>
      <c r="I426" s="180"/>
      <c r="J426" s="180"/>
      <c r="K426" s="284"/>
      <c r="L426" s="193"/>
      <c r="M426" s="180"/>
      <c r="N426" s="180"/>
      <c r="O426" s="180"/>
      <c r="P426" s="180"/>
      <c r="Q426" s="180"/>
      <c r="R426" s="180"/>
      <c r="S426" s="24"/>
      <c r="T426" s="182"/>
      <c r="U426" s="24"/>
      <c r="V426" s="32"/>
      <c r="W426" s="240"/>
      <c r="X426" s="64"/>
      <c r="Y426" s="75"/>
      <c r="Z426" s="64"/>
      <c r="AA426" s="64"/>
      <c r="AB426" s="25"/>
      <c r="AC426" s="23"/>
      <c r="AD426" s="23"/>
      <c r="AE426" s="23"/>
      <c r="AF426" s="335"/>
      <c r="AG426" s="336"/>
      <c r="AH426" s="334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</row>
    <row r="427" spans="1:346" s="26" customFormat="1" ht="12" hidden="1" customHeight="1" x14ac:dyDescent="0.25">
      <c r="A427" s="21"/>
      <c r="B427" s="21"/>
      <c r="C427" s="22"/>
      <c r="D427" s="353"/>
      <c r="E427" s="73"/>
      <c r="F427" s="7"/>
      <c r="G427" s="7"/>
      <c r="H427" s="7"/>
      <c r="I427" s="180"/>
      <c r="J427" s="180"/>
      <c r="K427" s="284"/>
      <c r="L427" s="193"/>
      <c r="M427" s="180"/>
      <c r="N427" s="180"/>
      <c r="O427" s="180"/>
      <c r="P427" s="180"/>
      <c r="Q427" s="180"/>
      <c r="R427" s="180"/>
      <c r="S427" s="24"/>
      <c r="T427" s="182"/>
      <c r="U427" s="24"/>
      <c r="V427" s="32"/>
      <c r="W427" s="240"/>
      <c r="X427" s="64"/>
      <c r="Y427" s="75"/>
      <c r="Z427" s="64"/>
      <c r="AA427" s="64"/>
      <c r="AB427" s="25"/>
      <c r="AC427" s="23"/>
      <c r="AD427" s="23"/>
      <c r="AE427" s="23"/>
      <c r="AF427" s="335"/>
      <c r="AG427" s="336"/>
      <c r="AH427" s="334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</row>
    <row r="428" spans="1:346" s="26" customFormat="1" ht="12" hidden="1" customHeight="1" x14ac:dyDescent="0.25">
      <c r="A428" s="21"/>
      <c r="B428" s="21"/>
      <c r="C428" s="22"/>
      <c r="D428" s="353"/>
      <c r="E428" s="73"/>
      <c r="F428" s="7"/>
      <c r="G428" s="7"/>
      <c r="H428" s="7"/>
      <c r="I428" s="180"/>
      <c r="J428" s="180"/>
      <c r="K428" s="284"/>
      <c r="L428" s="193"/>
      <c r="M428" s="180"/>
      <c r="N428" s="180"/>
      <c r="O428" s="180"/>
      <c r="P428" s="180"/>
      <c r="Q428" s="180"/>
      <c r="R428" s="180"/>
      <c r="S428" s="24"/>
      <c r="T428" s="182"/>
      <c r="U428" s="24"/>
      <c r="V428" s="32"/>
      <c r="W428" s="240"/>
      <c r="X428" s="64"/>
      <c r="Y428" s="75"/>
      <c r="Z428" s="64"/>
      <c r="AA428" s="64"/>
      <c r="AB428" s="25"/>
      <c r="AC428" s="23"/>
      <c r="AD428" s="23"/>
      <c r="AE428" s="23"/>
      <c r="AF428" s="335"/>
      <c r="AG428" s="336"/>
      <c r="AH428" s="334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</row>
    <row r="429" spans="1:346" s="26" customFormat="1" ht="12" hidden="1" customHeight="1" x14ac:dyDescent="0.25">
      <c r="A429" s="21"/>
      <c r="B429" s="21"/>
      <c r="C429" s="22"/>
      <c r="D429" s="353"/>
      <c r="E429" s="73"/>
      <c r="F429" s="7"/>
      <c r="G429" s="7"/>
      <c r="H429" s="7"/>
      <c r="I429" s="180"/>
      <c r="J429" s="180"/>
      <c r="K429" s="284"/>
      <c r="L429" s="193"/>
      <c r="M429" s="180"/>
      <c r="N429" s="180"/>
      <c r="O429" s="180"/>
      <c r="P429" s="180"/>
      <c r="Q429" s="180"/>
      <c r="R429" s="180"/>
      <c r="S429" s="24"/>
      <c r="T429" s="182"/>
      <c r="U429" s="24"/>
      <c r="V429" s="32"/>
      <c r="W429" s="240"/>
      <c r="X429" s="64"/>
      <c r="Y429" s="75"/>
      <c r="Z429" s="64"/>
      <c r="AA429" s="64"/>
      <c r="AB429" s="25"/>
      <c r="AC429" s="23"/>
      <c r="AD429" s="23"/>
      <c r="AE429" s="23"/>
      <c r="AF429" s="335"/>
      <c r="AG429" s="336"/>
      <c r="AH429" s="334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</row>
    <row r="430" spans="1:346" s="26" customFormat="1" ht="12" hidden="1" customHeight="1" x14ac:dyDescent="0.25">
      <c r="A430" s="21"/>
      <c r="B430" s="21"/>
      <c r="C430" s="22"/>
      <c r="D430" s="353"/>
      <c r="E430" s="73"/>
      <c r="F430" s="7"/>
      <c r="G430" s="7"/>
      <c r="H430" s="7"/>
      <c r="I430" s="180"/>
      <c r="J430" s="180"/>
      <c r="K430" s="284"/>
      <c r="L430" s="193"/>
      <c r="M430" s="180"/>
      <c r="N430" s="180"/>
      <c r="O430" s="180"/>
      <c r="P430" s="180"/>
      <c r="Q430" s="180"/>
      <c r="R430" s="180"/>
      <c r="S430" s="24"/>
      <c r="T430" s="182"/>
      <c r="U430" s="24"/>
      <c r="V430" s="32"/>
      <c r="W430" s="240"/>
      <c r="X430" s="64"/>
      <c r="Y430" s="75"/>
      <c r="Z430" s="64"/>
      <c r="AA430" s="64"/>
      <c r="AB430" s="25"/>
      <c r="AC430" s="23"/>
      <c r="AD430" s="23"/>
      <c r="AE430" s="23"/>
      <c r="AF430" s="335"/>
      <c r="AG430" s="336"/>
      <c r="AH430" s="334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</row>
    <row r="431" spans="1:346" s="26" customFormat="1" ht="12" hidden="1" customHeight="1" x14ac:dyDescent="0.25">
      <c r="A431" s="21"/>
      <c r="B431" s="21"/>
      <c r="C431" s="22"/>
      <c r="D431" s="353"/>
      <c r="E431" s="73"/>
      <c r="F431" s="7"/>
      <c r="G431" s="7"/>
      <c r="H431" s="7"/>
      <c r="I431" s="180"/>
      <c r="J431" s="180"/>
      <c r="K431" s="284"/>
      <c r="L431" s="193"/>
      <c r="M431" s="180"/>
      <c r="N431" s="180"/>
      <c r="O431" s="180"/>
      <c r="P431" s="180"/>
      <c r="Q431" s="180"/>
      <c r="R431" s="180"/>
      <c r="S431" s="24"/>
      <c r="T431" s="182"/>
      <c r="U431" s="24"/>
      <c r="V431" s="32"/>
      <c r="W431" s="240"/>
      <c r="X431" s="64"/>
      <c r="Y431" s="75"/>
      <c r="Z431" s="64"/>
      <c r="AA431" s="64"/>
      <c r="AB431" s="25"/>
      <c r="AC431" s="23"/>
      <c r="AD431" s="23"/>
      <c r="AE431" s="23"/>
      <c r="AF431" s="335"/>
      <c r="AG431" s="336"/>
      <c r="AH431" s="334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</row>
    <row r="432" spans="1:346" s="26" customFormat="1" ht="12" hidden="1" customHeight="1" x14ac:dyDescent="0.25">
      <c r="A432" s="21"/>
      <c r="B432" s="21"/>
      <c r="C432" s="22"/>
      <c r="D432" s="353"/>
      <c r="E432" s="73"/>
      <c r="F432" s="7"/>
      <c r="G432" s="7"/>
      <c r="H432" s="7"/>
      <c r="I432" s="180"/>
      <c r="J432" s="180"/>
      <c r="K432" s="284"/>
      <c r="L432" s="193"/>
      <c r="M432" s="180"/>
      <c r="N432" s="180"/>
      <c r="O432" s="180"/>
      <c r="P432" s="180"/>
      <c r="Q432" s="180"/>
      <c r="R432" s="180"/>
      <c r="S432" s="24"/>
      <c r="T432" s="182"/>
      <c r="U432" s="24"/>
      <c r="V432" s="32"/>
      <c r="W432" s="240"/>
      <c r="X432" s="64"/>
      <c r="Y432" s="75"/>
      <c r="Z432" s="64"/>
      <c r="AA432" s="64"/>
      <c r="AB432" s="25"/>
      <c r="AC432" s="23"/>
      <c r="AD432" s="23"/>
      <c r="AE432" s="23"/>
      <c r="AF432" s="335"/>
      <c r="AG432" s="336"/>
      <c r="AH432" s="334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</row>
    <row r="433" spans="1:346" s="26" customFormat="1" ht="12" hidden="1" customHeight="1" x14ac:dyDescent="0.25">
      <c r="A433" s="21"/>
      <c r="B433" s="21"/>
      <c r="C433" s="22"/>
      <c r="D433" s="353"/>
      <c r="E433" s="73"/>
      <c r="F433" s="7"/>
      <c r="G433" s="7"/>
      <c r="H433" s="7"/>
      <c r="I433" s="180"/>
      <c r="J433" s="180"/>
      <c r="K433" s="284"/>
      <c r="L433" s="193"/>
      <c r="M433" s="180"/>
      <c r="N433" s="180"/>
      <c r="O433" s="180"/>
      <c r="P433" s="180"/>
      <c r="Q433" s="180"/>
      <c r="R433" s="180"/>
      <c r="S433" s="24"/>
      <c r="T433" s="182"/>
      <c r="U433" s="24"/>
      <c r="V433" s="32"/>
      <c r="W433" s="240"/>
      <c r="X433" s="64"/>
      <c r="Y433" s="75"/>
      <c r="Z433" s="64"/>
      <c r="AA433" s="64"/>
      <c r="AB433" s="25"/>
      <c r="AC433" s="23"/>
      <c r="AD433" s="23"/>
      <c r="AE433" s="23"/>
      <c r="AF433" s="335"/>
      <c r="AG433" s="336"/>
      <c r="AH433" s="334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</row>
    <row r="434" spans="1:346" s="26" customFormat="1" ht="12" hidden="1" customHeight="1" x14ac:dyDescent="0.25">
      <c r="A434" s="21"/>
      <c r="B434" s="21"/>
      <c r="C434" s="22"/>
      <c r="D434" s="353"/>
      <c r="E434" s="73"/>
      <c r="F434" s="7"/>
      <c r="G434" s="7"/>
      <c r="H434" s="7"/>
      <c r="I434" s="180"/>
      <c r="J434" s="180"/>
      <c r="K434" s="284"/>
      <c r="L434" s="193"/>
      <c r="M434" s="180"/>
      <c r="N434" s="180"/>
      <c r="O434" s="180"/>
      <c r="P434" s="180"/>
      <c r="Q434" s="180"/>
      <c r="R434" s="180"/>
      <c r="S434" s="24"/>
      <c r="T434" s="182"/>
      <c r="U434" s="24"/>
      <c r="V434" s="32"/>
      <c r="W434" s="240"/>
      <c r="X434" s="64"/>
      <c r="Y434" s="75"/>
      <c r="Z434" s="64"/>
      <c r="AA434" s="64"/>
      <c r="AB434" s="25"/>
      <c r="AC434" s="23"/>
      <c r="AD434" s="23"/>
      <c r="AE434" s="23"/>
      <c r="AF434" s="335"/>
      <c r="AG434" s="336"/>
      <c r="AH434" s="334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</row>
    <row r="435" spans="1:346" s="26" customFormat="1" ht="12" hidden="1" customHeight="1" x14ac:dyDescent="0.25">
      <c r="A435" s="21"/>
      <c r="B435" s="21"/>
      <c r="C435" s="22"/>
      <c r="D435" s="353"/>
      <c r="E435" s="73"/>
      <c r="F435" s="7"/>
      <c r="G435" s="7"/>
      <c r="H435" s="7"/>
      <c r="I435" s="180"/>
      <c r="J435" s="180"/>
      <c r="K435" s="284"/>
      <c r="L435" s="193"/>
      <c r="M435" s="180"/>
      <c r="N435" s="180"/>
      <c r="O435" s="180"/>
      <c r="P435" s="180"/>
      <c r="Q435" s="180"/>
      <c r="R435" s="180"/>
      <c r="S435" s="24"/>
      <c r="T435" s="182"/>
      <c r="U435" s="24"/>
      <c r="V435" s="32"/>
      <c r="W435" s="240"/>
      <c r="X435" s="64"/>
      <c r="Y435" s="75"/>
      <c r="Z435" s="64"/>
      <c r="AA435" s="64"/>
      <c r="AB435" s="25"/>
      <c r="AC435" s="23"/>
      <c r="AD435" s="23"/>
      <c r="AE435" s="23"/>
      <c r="AF435" s="335"/>
      <c r="AG435" s="336"/>
      <c r="AH435" s="334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</row>
    <row r="436" spans="1:346" s="26" customFormat="1" ht="12" hidden="1" customHeight="1" x14ac:dyDescent="0.25">
      <c r="A436" s="21"/>
      <c r="B436" s="21"/>
      <c r="C436" s="22"/>
      <c r="D436" s="353"/>
      <c r="E436" s="73"/>
      <c r="F436" s="7"/>
      <c r="G436" s="7"/>
      <c r="H436" s="7"/>
      <c r="I436" s="180"/>
      <c r="J436" s="180"/>
      <c r="K436" s="284"/>
      <c r="L436" s="193"/>
      <c r="M436" s="180"/>
      <c r="N436" s="180"/>
      <c r="O436" s="180"/>
      <c r="P436" s="180"/>
      <c r="Q436" s="180"/>
      <c r="R436" s="180"/>
      <c r="S436" s="24"/>
      <c r="T436" s="182"/>
      <c r="U436" s="24"/>
      <c r="V436" s="32"/>
      <c r="W436" s="240"/>
      <c r="X436" s="64"/>
      <c r="Y436" s="75"/>
      <c r="Z436" s="64"/>
      <c r="AA436" s="64"/>
      <c r="AB436" s="25"/>
      <c r="AC436" s="23"/>
      <c r="AD436" s="23"/>
      <c r="AE436" s="23"/>
      <c r="AF436" s="335"/>
      <c r="AG436" s="336"/>
      <c r="AH436" s="334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</row>
    <row r="437" spans="1:346" s="26" customFormat="1" ht="12" hidden="1" customHeight="1" x14ac:dyDescent="0.25">
      <c r="A437" s="21"/>
      <c r="B437" s="21"/>
      <c r="C437" s="22"/>
      <c r="D437" s="353"/>
      <c r="E437" s="73"/>
      <c r="F437" s="7"/>
      <c r="G437" s="7"/>
      <c r="H437" s="7"/>
      <c r="I437" s="180"/>
      <c r="J437" s="180"/>
      <c r="K437" s="284"/>
      <c r="L437" s="193"/>
      <c r="M437" s="180"/>
      <c r="N437" s="180"/>
      <c r="O437" s="180"/>
      <c r="P437" s="180"/>
      <c r="Q437" s="180"/>
      <c r="R437" s="180"/>
      <c r="S437" s="24"/>
      <c r="T437" s="182"/>
      <c r="U437" s="24"/>
      <c r="V437" s="32"/>
      <c r="W437" s="240"/>
      <c r="X437" s="64"/>
      <c r="Y437" s="75"/>
      <c r="Z437" s="64"/>
      <c r="AA437" s="64"/>
      <c r="AB437" s="25"/>
      <c r="AC437" s="23"/>
      <c r="AD437" s="23"/>
      <c r="AE437" s="23"/>
      <c r="AF437" s="335"/>
      <c r="AG437" s="336"/>
      <c r="AH437" s="334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</row>
    <row r="438" spans="1:346" s="26" customFormat="1" ht="12" hidden="1" customHeight="1" x14ac:dyDescent="0.25">
      <c r="A438" s="21"/>
      <c r="B438" s="21"/>
      <c r="C438" s="22"/>
      <c r="D438" s="353"/>
      <c r="E438" s="73"/>
      <c r="F438" s="7"/>
      <c r="G438" s="7"/>
      <c r="H438" s="7"/>
      <c r="I438" s="180"/>
      <c r="J438" s="180"/>
      <c r="K438" s="284"/>
      <c r="L438" s="193"/>
      <c r="M438" s="180"/>
      <c r="N438" s="180"/>
      <c r="O438" s="180"/>
      <c r="P438" s="180"/>
      <c r="Q438" s="180"/>
      <c r="R438" s="180"/>
      <c r="S438" s="24"/>
      <c r="T438" s="182"/>
      <c r="U438" s="24"/>
      <c r="V438" s="32"/>
      <c r="W438" s="240"/>
      <c r="X438" s="64"/>
      <c r="Y438" s="75"/>
      <c r="Z438" s="64"/>
      <c r="AA438" s="64"/>
      <c r="AB438" s="25"/>
      <c r="AC438" s="23"/>
      <c r="AD438" s="23"/>
      <c r="AE438" s="23"/>
      <c r="AF438" s="335"/>
      <c r="AG438" s="336"/>
      <c r="AH438" s="334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</row>
    <row r="439" spans="1:346" s="26" customFormat="1" ht="12" hidden="1" customHeight="1" x14ac:dyDescent="0.25">
      <c r="A439" s="21"/>
      <c r="B439" s="21"/>
      <c r="C439" s="22"/>
      <c r="D439" s="353"/>
      <c r="E439" s="73"/>
      <c r="F439" s="7"/>
      <c r="G439" s="7"/>
      <c r="H439" s="7"/>
      <c r="I439" s="180"/>
      <c r="J439" s="180"/>
      <c r="K439" s="284"/>
      <c r="L439" s="193"/>
      <c r="M439" s="180"/>
      <c r="N439" s="180"/>
      <c r="O439" s="180"/>
      <c r="P439" s="180"/>
      <c r="Q439" s="180"/>
      <c r="R439" s="180"/>
      <c r="S439" s="24"/>
      <c r="T439" s="182"/>
      <c r="U439" s="24"/>
      <c r="V439" s="32"/>
      <c r="W439" s="240"/>
      <c r="X439" s="64"/>
      <c r="Y439" s="75"/>
      <c r="Z439" s="64"/>
      <c r="AA439" s="64"/>
      <c r="AB439" s="25"/>
      <c r="AC439" s="23"/>
      <c r="AD439" s="23"/>
      <c r="AE439" s="23"/>
      <c r="AF439" s="335"/>
      <c r="AG439" s="336"/>
      <c r="AH439" s="334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</row>
    <row r="440" spans="1:346" s="26" customFormat="1" ht="12" hidden="1" customHeight="1" x14ac:dyDescent="0.25">
      <c r="A440" s="21"/>
      <c r="B440" s="21"/>
      <c r="C440" s="22"/>
      <c r="D440" s="353"/>
      <c r="E440" s="73"/>
      <c r="F440" s="7"/>
      <c r="G440" s="7"/>
      <c r="H440" s="7"/>
      <c r="I440" s="180"/>
      <c r="J440" s="180"/>
      <c r="K440" s="284"/>
      <c r="L440" s="193"/>
      <c r="M440" s="180"/>
      <c r="N440" s="180"/>
      <c r="O440" s="180"/>
      <c r="P440" s="180"/>
      <c r="Q440" s="180"/>
      <c r="R440" s="180"/>
      <c r="S440" s="24"/>
      <c r="T440" s="182"/>
      <c r="U440" s="24"/>
      <c r="V440" s="32"/>
      <c r="W440" s="240"/>
      <c r="X440" s="64"/>
      <c r="Y440" s="75"/>
      <c r="Z440" s="64"/>
      <c r="AA440" s="64"/>
      <c r="AB440" s="25"/>
      <c r="AC440" s="23"/>
      <c r="AD440" s="23"/>
      <c r="AE440" s="23"/>
      <c r="AF440" s="335"/>
      <c r="AG440" s="336"/>
      <c r="AH440" s="334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</row>
    <row r="441" spans="1:346" s="26" customFormat="1" ht="12" hidden="1" customHeight="1" x14ac:dyDescent="0.25">
      <c r="A441" s="21"/>
      <c r="B441" s="21"/>
      <c r="C441" s="22"/>
      <c r="D441" s="353"/>
      <c r="E441" s="73"/>
      <c r="F441" s="7"/>
      <c r="G441" s="7"/>
      <c r="H441" s="7"/>
      <c r="I441" s="180"/>
      <c r="J441" s="180"/>
      <c r="K441" s="284"/>
      <c r="L441" s="193"/>
      <c r="M441" s="180"/>
      <c r="N441" s="180"/>
      <c r="O441" s="180"/>
      <c r="P441" s="180"/>
      <c r="Q441" s="180"/>
      <c r="R441" s="180"/>
      <c r="S441" s="24"/>
      <c r="T441" s="182"/>
      <c r="U441" s="24"/>
      <c r="V441" s="32"/>
      <c r="W441" s="240"/>
      <c r="X441" s="64"/>
      <c r="Y441" s="75"/>
      <c r="Z441" s="64"/>
      <c r="AA441" s="64"/>
      <c r="AB441" s="25"/>
      <c r="AC441" s="23"/>
      <c r="AD441" s="23"/>
      <c r="AE441" s="23"/>
      <c r="AF441" s="335"/>
      <c r="AG441" s="336"/>
      <c r="AH441" s="334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</row>
    <row r="442" spans="1:346" s="26" customFormat="1" ht="12" hidden="1" customHeight="1" x14ac:dyDescent="0.25">
      <c r="A442" s="21"/>
      <c r="B442" s="21"/>
      <c r="C442" s="22"/>
      <c r="D442" s="353"/>
      <c r="E442" s="73"/>
      <c r="F442" s="7"/>
      <c r="G442" s="7"/>
      <c r="H442" s="7"/>
      <c r="I442" s="180"/>
      <c r="J442" s="180"/>
      <c r="K442" s="284"/>
      <c r="L442" s="193"/>
      <c r="M442" s="180"/>
      <c r="N442" s="180"/>
      <c r="O442" s="180"/>
      <c r="P442" s="180"/>
      <c r="Q442" s="180"/>
      <c r="R442" s="180"/>
      <c r="S442" s="24"/>
      <c r="T442" s="182"/>
      <c r="U442" s="24"/>
      <c r="V442" s="32"/>
      <c r="W442" s="240"/>
      <c r="X442" s="64"/>
      <c r="Y442" s="75"/>
      <c r="Z442" s="64"/>
      <c r="AA442" s="64"/>
      <c r="AB442" s="25"/>
      <c r="AC442" s="23"/>
      <c r="AD442" s="23"/>
      <c r="AE442" s="23"/>
      <c r="AF442" s="335"/>
      <c r="AG442" s="336"/>
      <c r="AH442" s="334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</row>
    <row r="443" spans="1:346" s="26" customFormat="1" ht="12" hidden="1" customHeight="1" x14ac:dyDescent="0.25">
      <c r="A443" s="21"/>
      <c r="B443" s="21"/>
      <c r="C443" s="22"/>
      <c r="D443" s="353"/>
      <c r="E443" s="73"/>
      <c r="F443" s="7"/>
      <c r="G443" s="7"/>
      <c r="H443" s="7"/>
      <c r="I443" s="180"/>
      <c r="J443" s="180"/>
      <c r="K443" s="284"/>
      <c r="L443" s="193"/>
      <c r="M443" s="180"/>
      <c r="N443" s="180"/>
      <c r="O443" s="180"/>
      <c r="P443" s="180"/>
      <c r="Q443" s="180"/>
      <c r="R443" s="180"/>
      <c r="S443" s="24"/>
      <c r="T443" s="182"/>
      <c r="U443" s="24"/>
      <c r="V443" s="32"/>
      <c r="W443" s="240"/>
      <c r="X443" s="64"/>
      <c r="Y443" s="75"/>
      <c r="Z443" s="64"/>
      <c r="AA443" s="64"/>
      <c r="AB443" s="25"/>
      <c r="AC443" s="23"/>
      <c r="AD443" s="23"/>
      <c r="AE443" s="23"/>
      <c r="AF443" s="335"/>
      <c r="AG443" s="336"/>
      <c r="AH443" s="334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</row>
    <row r="444" spans="1:346" s="26" customFormat="1" ht="12" hidden="1" customHeight="1" x14ac:dyDescent="0.25">
      <c r="A444" s="21"/>
      <c r="B444" s="21"/>
      <c r="C444" s="22"/>
      <c r="D444" s="353"/>
      <c r="E444" s="73"/>
      <c r="F444" s="7"/>
      <c r="G444" s="7"/>
      <c r="H444" s="7"/>
      <c r="I444" s="180"/>
      <c r="J444" s="180"/>
      <c r="K444" s="284"/>
      <c r="L444" s="193"/>
      <c r="M444" s="180"/>
      <c r="N444" s="180"/>
      <c r="O444" s="180"/>
      <c r="P444" s="180"/>
      <c r="Q444" s="180"/>
      <c r="R444" s="180"/>
      <c r="S444" s="24"/>
      <c r="T444" s="182"/>
      <c r="U444" s="24"/>
      <c r="V444" s="32"/>
      <c r="W444" s="240"/>
      <c r="X444" s="64"/>
      <c r="Y444" s="75"/>
      <c r="Z444" s="64"/>
      <c r="AA444" s="64"/>
      <c r="AB444" s="25"/>
      <c r="AC444" s="23"/>
      <c r="AD444" s="23"/>
      <c r="AE444" s="23"/>
      <c r="AF444" s="335"/>
      <c r="AG444" s="336"/>
      <c r="AH444" s="334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</row>
    <row r="445" spans="1:346" s="26" customFormat="1" ht="12" hidden="1" customHeight="1" x14ac:dyDescent="0.25">
      <c r="A445" s="21"/>
      <c r="B445" s="21"/>
      <c r="C445" s="22"/>
      <c r="D445" s="353"/>
      <c r="E445" s="73"/>
      <c r="F445" s="7"/>
      <c r="G445" s="7"/>
      <c r="H445" s="7"/>
      <c r="I445" s="180"/>
      <c r="J445" s="180"/>
      <c r="K445" s="284"/>
      <c r="L445" s="193"/>
      <c r="M445" s="180"/>
      <c r="N445" s="180"/>
      <c r="O445" s="180"/>
      <c r="P445" s="180"/>
      <c r="Q445" s="180"/>
      <c r="R445" s="180"/>
      <c r="S445" s="24"/>
      <c r="T445" s="182"/>
      <c r="U445" s="24"/>
      <c r="V445" s="32"/>
      <c r="W445" s="240"/>
      <c r="X445" s="64"/>
      <c r="Y445" s="75"/>
      <c r="Z445" s="64"/>
      <c r="AA445" s="64"/>
      <c r="AB445" s="25"/>
      <c r="AC445" s="23"/>
      <c r="AD445" s="23"/>
      <c r="AE445" s="23"/>
      <c r="AF445" s="335"/>
      <c r="AG445" s="336"/>
      <c r="AH445" s="334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</row>
    <row r="446" spans="1:346" s="26" customFormat="1" ht="12" hidden="1" customHeight="1" x14ac:dyDescent="0.25">
      <c r="A446" s="21"/>
      <c r="B446" s="21"/>
      <c r="C446" s="22"/>
      <c r="D446" s="353"/>
      <c r="E446" s="73"/>
      <c r="F446" s="7"/>
      <c r="G446" s="7"/>
      <c r="H446" s="7"/>
      <c r="I446" s="180"/>
      <c r="J446" s="180"/>
      <c r="K446" s="284"/>
      <c r="L446" s="193"/>
      <c r="M446" s="180"/>
      <c r="N446" s="180"/>
      <c r="O446" s="180"/>
      <c r="P446" s="180"/>
      <c r="Q446" s="180"/>
      <c r="R446" s="180"/>
      <c r="S446" s="24"/>
      <c r="T446" s="182"/>
      <c r="U446" s="24"/>
      <c r="V446" s="32"/>
      <c r="W446" s="240"/>
      <c r="X446" s="64"/>
      <c r="Y446" s="75"/>
      <c r="Z446" s="64"/>
      <c r="AA446" s="64"/>
      <c r="AB446" s="25"/>
      <c r="AC446" s="23"/>
      <c r="AD446" s="23"/>
      <c r="AE446" s="23"/>
      <c r="AF446" s="335"/>
      <c r="AG446" s="336"/>
      <c r="AH446" s="334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</row>
    <row r="447" spans="1:346" s="26" customFormat="1" ht="12" hidden="1" customHeight="1" x14ac:dyDescent="0.25">
      <c r="A447" s="21"/>
      <c r="B447" s="21"/>
      <c r="C447" s="22"/>
      <c r="D447" s="353"/>
      <c r="E447" s="73"/>
      <c r="F447" s="7"/>
      <c r="G447" s="7"/>
      <c r="H447" s="7"/>
      <c r="I447" s="180"/>
      <c r="J447" s="180"/>
      <c r="K447" s="284"/>
      <c r="L447" s="193"/>
      <c r="M447" s="180"/>
      <c r="N447" s="180"/>
      <c r="O447" s="180"/>
      <c r="P447" s="180"/>
      <c r="Q447" s="180"/>
      <c r="R447" s="180"/>
      <c r="S447" s="24"/>
      <c r="T447" s="182"/>
      <c r="U447" s="24"/>
      <c r="V447" s="32"/>
      <c r="W447" s="240"/>
      <c r="X447" s="64"/>
      <c r="Y447" s="75"/>
      <c r="Z447" s="64"/>
      <c r="AA447" s="64"/>
      <c r="AB447" s="25"/>
      <c r="AC447" s="23"/>
      <c r="AD447" s="23"/>
      <c r="AE447" s="23"/>
      <c r="AF447" s="335"/>
      <c r="AG447" s="336"/>
      <c r="AH447" s="334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</row>
    <row r="448" spans="1:346" s="26" customFormat="1" ht="12" hidden="1" customHeight="1" x14ac:dyDescent="0.25">
      <c r="A448" s="21"/>
      <c r="B448" s="21"/>
      <c r="C448" s="22"/>
      <c r="D448" s="353"/>
      <c r="E448" s="73"/>
      <c r="F448" s="7"/>
      <c r="G448" s="7"/>
      <c r="H448" s="7"/>
      <c r="I448" s="180"/>
      <c r="J448" s="180"/>
      <c r="K448" s="284"/>
      <c r="L448" s="193"/>
      <c r="M448" s="180"/>
      <c r="N448" s="180"/>
      <c r="O448" s="180"/>
      <c r="P448" s="180"/>
      <c r="Q448" s="180"/>
      <c r="R448" s="180"/>
      <c r="S448" s="24"/>
      <c r="T448" s="182"/>
      <c r="U448" s="24"/>
      <c r="V448" s="32"/>
      <c r="W448" s="240"/>
      <c r="X448" s="64"/>
      <c r="Y448" s="75"/>
      <c r="Z448" s="64"/>
      <c r="AA448" s="64"/>
      <c r="AB448" s="25"/>
      <c r="AC448" s="23"/>
      <c r="AD448" s="23"/>
      <c r="AE448" s="23"/>
      <c r="AF448" s="335"/>
      <c r="AG448" s="336"/>
      <c r="AH448" s="334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</row>
    <row r="449" spans="1:346" s="26" customFormat="1" ht="12" hidden="1" customHeight="1" x14ac:dyDescent="0.25">
      <c r="A449" s="21"/>
      <c r="B449" s="21"/>
      <c r="C449" s="22"/>
      <c r="D449" s="353"/>
      <c r="E449" s="73"/>
      <c r="F449" s="7"/>
      <c r="G449" s="7"/>
      <c r="H449" s="7"/>
      <c r="I449" s="180"/>
      <c r="J449" s="180"/>
      <c r="K449" s="284"/>
      <c r="L449" s="193"/>
      <c r="M449" s="180"/>
      <c r="N449" s="180"/>
      <c r="O449" s="180"/>
      <c r="P449" s="180"/>
      <c r="Q449" s="180"/>
      <c r="R449" s="180"/>
      <c r="S449" s="24"/>
      <c r="T449" s="182"/>
      <c r="U449" s="24"/>
      <c r="V449" s="32"/>
      <c r="W449" s="240"/>
      <c r="X449" s="64"/>
      <c r="Y449" s="75"/>
      <c r="Z449" s="64"/>
      <c r="AA449" s="64"/>
      <c r="AB449" s="25"/>
      <c r="AC449" s="23"/>
      <c r="AD449" s="23"/>
      <c r="AE449" s="23"/>
      <c r="AF449" s="335"/>
      <c r="AG449" s="336"/>
      <c r="AH449" s="334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</row>
    <row r="450" spans="1:346" s="26" customFormat="1" ht="12" hidden="1" customHeight="1" x14ac:dyDescent="0.25">
      <c r="A450" s="21"/>
      <c r="B450" s="21"/>
      <c r="C450" s="22"/>
      <c r="D450" s="353"/>
      <c r="E450" s="73"/>
      <c r="F450" s="7"/>
      <c r="G450" s="7"/>
      <c r="H450" s="7"/>
      <c r="I450" s="180"/>
      <c r="J450" s="180"/>
      <c r="K450" s="284"/>
      <c r="L450" s="193"/>
      <c r="M450" s="180"/>
      <c r="N450" s="180"/>
      <c r="O450" s="180"/>
      <c r="P450" s="180"/>
      <c r="Q450" s="180"/>
      <c r="R450" s="180"/>
      <c r="S450" s="24"/>
      <c r="T450" s="182"/>
      <c r="U450" s="24"/>
      <c r="V450" s="32"/>
      <c r="W450" s="240"/>
      <c r="X450" s="64"/>
      <c r="Y450" s="75"/>
      <c r="Z450" s="64"/>
      <c r="AA450" s="64"/>
      <c r="AB450" s="25"/>
      <c r="AC450" s="23"/>
      <c r="AD450" s="23"/>
      <c r="AE450" s="23"/>
      <c r="AF450" s="335"/>
      <c r="AG450" s="336"/>
      <c r="AH450" s="334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</row>
    <row r="451" spans="1:346" s="26" customFormat="1" ht="12" hidden="1" customHeight="1" x14ac:dyDescent="0.25">
      <c r="A451" s="21"/>
      <c r="B451" s="21"/>
      <c r="C451" s="22"/>
      <c r="D451" s="353"/>
      <c r="E451" s="73"/>
      <c r="F451" s="7"/>
      <c r="G451" s="7"/>
      <c r="H451" s="7"/>
      <c r="I451" s="180"/>
      <c r="J451" s="180"/>
      <c r="K451" s="284"/>
      <c r="L451" s="193"/>
      <c r="M451" s="180"/>
      <c r="N451" s="180"/>
      <c r="O451" s="180"/>
      <c r="P451" s="180"/>
      <c r="Q451" s="180"/>
      <c r="R451" s="180"/>
      <c r="S451" s="24"/>
      <c r="T451" s="182"/>
      <c r="U451" s="24"/>
      <c r="V451" s="32"/>
      <c r="W451" s="240"/>
      <c r="X451" s="64"/>
      <c r="Y451" s="75"/>
      <c r="Z451" s="64"/>
      <c r="AA451" s="64"/>
      <c r="AB451" s="25"/>
      <c r="AC451" s="23"/>
      <c r="AD451" s="23"/>
      <c r="AE451" s="23"/>
      <c r="AF451" s="335"/>
      <c r="AG451" s="336"/>
      <c r="AH451" s="334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</row>
    <row r="452" spans="1:346" s="26" customFormat="1" ht="12" hidden="1" customHeight="1" x14ac:dyDescent="0.25">
      <c r="A452" s="21"/>
      <c r="B452" s="21"/>
      <c r="C452" s="22"/>
      <c r="D452" s="353"/>
      <c r="E452" s="73"/>
      <c r="F452" s="7"/>
      <c r="G452" s="7"/>
      <c r="H452" s="7"/>
      <c r="I452" s="180"/>
      <c r="J452" s="180"/>
      <c r="K452" s="284"/>
      <c r="L452" s="193"/>
      <c r="M452" s="180"/>
      <c r="N452" s="180"/>
      <c r="O452" s="180"/>
      <c r="P452" s="180"/>
      <c r="Q452" s="180"/>
      <c r="R452" s="180"/>
      <c r="S452" s="24"/>
      <c r="T452" s="182"/>
      <c r="U452" s="24"/>
      <c r="V452" s="32"/>
      <c r="W452" s="240"/>
      <c r="X452" s="64"/>
      <c r="Y452" s="75"/>
      <c r="Z452" s="64"/>
      <c r="AA452" s="64"/>
      <c r="AB452" s="25"/>
      <c r="AC452" s="23"/>
      <c r="AD452" s="23"/>
      <c r="AE452" s="23"/>
      <c r="AF452" s="335"/>
      <c r="AG452" s="336"/>
      <c r="AH452" s="334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</row>
    <row r="453" spans="1:346" s="26" customFormat="1" ht="12" hidden="1" customHeight="1" x14ac:dyDescent="0.25">
      <c r="A453" s="21"/>
      <c r="B453" s="21"/>
      <c r="C453" s="22"/>
      <c r="D453" s="353"/>
      <c r="E453" s="73"/>
      <c r="F453" s="7"/>
      <c r="G453" s="7"/>
      <c r="H453" s="7"/>
      <c r="I453" s="180"/>
      <c r="J453" s="180"/>
      <c r="K453" s="284"/>
      <c r="L453" s="193"/>
      <c r="M453" s="180"/>
      <c r="N453" s="180"/>
      <c r="O453" s="180"/>
      <c r="P453" s="180"/>
      <c r="Q453" s="180"/>
      <c r="R453" s="180"/>
      <c r="S453" s="24"/>
      <c r="T453" s="182"/>
      <c r="U453" s="24"/>
      <c r="V453" s="32"/>
      <c r="W453" s="240"/>
      <c r="X453" s="64"/>
      <c r="Y453" s="75"/>
      <c r="Z453" s="64"/>
      <c r="AA453" s="64"/>
      <c r="AB453" s="25"/>
      <c r="AC453" s="23"/>
      <c r="AD453" s="23"/>
      <c r="AE453" s="23"/>
      <c r="AF453" s="335"/>
      <c r="AG453" s="336"/>
      <c r="AH453" s="334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</row>
    <row r="454" spans="1:346" s="26" customFormat="1" ht="12" hidden="1" customHeight="1" x14ac:dyDescent="0.25">
      <c r="A454" s="21"/>
      <c r="B454" s="21"/>
      <c r="C454" s="22"/>
      <c r="D454" s="353"/>
      <c r="E454" s="73"/>
      <c r="F454" s="7"/>
      <c r="G454" s="7"/>
      <c r="H454" s="7"/>
      <c r="I454" s="180"/>
      <c r="J454" s="180"/>
      <c r="K454" s="284"/>
      <c r="L454" s="193"/>
      <c r="M454" s="180"/>
      <c r="N454" s="180"/>
      <c r="O454" s="180"/>
      <c r="P454" s="180"/>
      <c r="Q454" s="180"/>
      <c r="R454" s="180"/>
      <c r="S454" s="24"/>
      <c r="T454" s="182"/>
      <c r="U454" s="24"/>
      <c r="V454" s="32"/>
      <c r="W454" s="240"/>
      <c r="X454" s="64"/>
      <c r="Y454" s="75"/>
      <c r="Z454" s="64"/>
      <c r="AA454" s="64"/>
      <c r="AB454" s="25"/>
      <c r="AC454" s="23"/>
      <c r="AD454" s="23"/>
      <c r="AE454" s="23"/>
      <c r="AF454" s="335"/>
      <c r="AG454" s="336"/>
      <c r="AH454" s="334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</row>
    <row r="455" spans="1:346" s="26" customFormat="1" ht="12" hidden="1" customHeight="1" x14ac:dyDescent="0.25">
      <c r="A455" s="21"/>
      <c r="B455" s="21"/>
      <c r="C455" s="22"/>
      <c r="D455" s="353"/>
      <c r="E455" s="73"/>
      <c r="F455" s="7"/>
      <c r="G455" s="7"/>
      <c r="H455" s="7"/>
      <c r="I455" s="180"/>
      <c r="J455" s="180"/>
      <c r="K455" s="284"/>
      <c r="L455" s="193"/>
      <c r="M455" s="180"/>
      <c r="N455" s="180"/>
      <c r="O455" s="180"/>
      <c r="P455" s="180"/>
      <c r="Q455" s="180"/>
      <c r="R455" s="180"/>
      <c r="S455" s="24"/>
      <c r="T455" s="182"/>
      <c r="U455" s="24"/>
      <c r="V455" s="32"/>
      <c r="W455" s="240"/>
      <c r="X455" s="64"/>
      <c r="Y455" s="75"/>
      <c r="Z455" s="64"/>
      <c r="AA455" s="64"/>
      <c r="AB455" s="25"/>
      <c r="AC455" s="23"/>
      <c r="AD455" s="23"/>
      <c r="AE455" s="23"/>
      <c r="AF455" s="335"/>
      <c r="AG455" s="336"/>
      <c r="AH455" s="334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</row>
    <row r="456" spans="1:346" s="26" customFormat="1" ht="12" hidden="1" customHeight="1" x14ac:dyDescent="0.25">
      <c r="A456" s="21"/>
      <c r="B456" s="21"/>
      <c r="C456" s="22"/>
      <c r="D456" s="353"/>
      <c r="E456" s="73"/>
      <c r="F456" s="7"/>
      <c r="G456" s="7"/>
      <c r="H456" s="7"/>
      <c r="I456" s="180"/>
      <c r="J456" s="180"/>
      <c r="K456" s="284"/>
      <c r="L456" s="193"/>
      <c r="M456" s="180"/>
      <c r="N456" s="180"/>
      <c r="O456" s="180"/>
      <c r="P456" s="180"/>
      <c r="Q456" s="180"/>
      <c r="R456" s="180"/>
      <c r="S456" s="24"/>
      <c r="T456" s="182"/>
      <c r="U456" s="24"/>
      <c r="V456" s="32"/>
      <c r="W456" s="240"/>
      <c r="X456" s="64"/>
      <c r="Y456" s="75"/>
      <c r="Z456" s="64"/>
      <c r="AA456" s="64"/>
      <c r="AB456" s="25"/>
      <c r="AC456" s="23"/>
      <c r="AD456" s="23"/>
      <c r="AE456" s="23"/>
      <c r="AF456" s="335"/>
      <c r="AG456" s="336"/>
      <c r="AH456" s="334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</row>
    <row r="457" spans="1:346" s="26" customFormat="1" ht="12" hidden="1" customHeight="1" x14ac:dyDescent="0.25">
      <c r="A457" s="21"/>
      <c r="B457" s="21"/>
      <c r="C457" s="22"/>
      <c r="D457" s="353"/>
      <c r="E457" s="73"/>
      <c r="F457" s="7"/>
      <c r="G457" s="7"/>
      <c r="H457" s="7"/>
      <c r="I457" s="180"/>
      <c r="J457" s="180"/>
      <c r="K457" s="284"/>
      <c r="L457" s="193"/>
      <c r="M457" s="180"/>
      <c r="N457" s="180"/>
      <c r="O457" s="180"/>
      <c r="P457" s="180"/>
      <c r="Q457" s="180"/>
      <c r="R457" s="180"/>
      <c r="S457" s="24"/>
      <c r="T457" s="182"/>
      <c r="U457" s="24"/>
      <c r="V457" s="32"/>
      <c r="W457" s="240"/>
      <c r="X457" s="64"/>
      <c r="Y457" s="75"/>
      <c r="Z457" s="64"/>
      <c r="AA457" s="64"/>
      <c r="AB457" s="25"/>
      <c r="AC457" s="23"/>
      <c r="AD457" s="23"/>
      <c r="AE457" s="23"/>
      <c r="AF457" s="335"/>
      <c r="AG457" s="336"/>
      <c r="AH457" s="334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</row>
    <row r="458" spans="1:346" s="26" customFormat="1" ht="12" hidden="1" customHeight="1" x14ac:dyDescent="0.25">
      <c r="A458" s="21"/>
      <c r="B458" s="21"/>
      <c r="C458" s="22"/>
      <c r="D458" s="353"/>
      <c r="E458" s="73"/>
      <c r="F458" s="7"/>
      <c r="G458" s="7"/>
      <c r="H458" s="7"/>
      <c r="I458" s="180"/>
      <c r="J458" s="180"/>
      <c r="K458" s="284"/>
      <c r="L458" s="193"/>
      <c r="M458" s="180"/>
      <c r="N458" s="180"/>
      <c r="O458" s="180"/>
      <c r="P458" s="180"/>
      <c r="Q458" s="180"/>
      <c r="R458" s="180"/>
      <c r="S458" s="24"/>
      <c r="T458" s="182"/>
      <c r="U458" s="24"/>
      <c r="V458" s="32"/>
      <c r="W458" s="240"/>
      <c r="X458" s="64"/>
      <c r="Y458" s="75"/>
      <c r="Z458" s="64"/>
      <c r="AA458" s="64"/>
      <c r="AB458" s="25"/>
      <c r="AC458" s="23"/>
      <c r="AD458" s="23"/>
      <c r="AE458" s="23"/>
      <c r="AF458" s="335"/>
      <c r="AG458" s="336"/>
      <c r="AH458" s="334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</row>
    <row r="459" spans="1:346" s="26" customFormat="1" ht="12" hidden="1" customHeight="1" x14ac:dyDescent="0.25">
      <c r="A459" s="21"/>
      <c r="B459" s="21"/>
      <c r="C459" s="22"/>
      <c r="D459" s="353"/>
      <c r="E459" s="73"/>
      <c r="F459" s="7"/>
      <c r="G459" s="7"/>
      <c r="H459" s="7"/>
      <c r="I459" s="180"/>
      <c r="J459" s="180"/>
      <c r="K459" s="284"/>
      <c r="L459" s="193"/>
      <c r="M459" s="180"/>
      <c r="N459" s="180"/>
      <c r="O459" s="180"/>
      <c r="P459" s="180"/>
      <c r="Q459" s="180"/>
      <c r="R459" s="180"/>
      <c r="S459" s="24"/>
      <c r="T459" s="182"/>
      <c r="U459" s="24"/>
      <c r="V459" s="32"/>
      <c r="W459" s="240"/>
      <c r="X459" s="64"/>
      <c r="Y459" s="75"/>
      <c r="Z459" s="64"/>
      <c r="AA459" s="64"/>
      <c r="AB459" s="25"/>
      <c r="AC459" s="23"/>
      <c r="AD459" s="23"/>
      <c r="AE459" s="23"/>
      <c r="AF459" s="335"/>
      <c r="AG459" s="336"/>
      <c r="AH459" s="334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</row>
    <row r="460" spans="1:346" s="26" customFormat="1" ht="12" hidden="1" customHeight="1" x14ac:dyDescent="0.25">
      <c r="A460" s="21"/>
      <c r="B460" s="21"/>
      <c r="C460" s="22"/>
      <c r="D460" s="353"/>
      <c r="E460" s="73"/>
      <c r="F460" s="7"/>
      <c r="G460" s="7"/>
      <c r="H460" s="7"/>
      <c r="I460" s="180"/>
      <c r="J460" s="180"/>
      <c r="K460" s="284"/>
      <c r="L460" s="193"/>
      <c r="M460" s="180"/>
      <c r="N460" s="180"/>
      <c r="O460" s="180"/>
      <c r="P460" s="180"/>
      <c r="Q460" s="180"/>
      <c r="R460" s="180"/>
      <c r="S460" s="24"/>
      <c r="T460" s="182"/>
      <c r="U460" s="24"/>
      <c r="V460" s="32"/>
      <c r="W460" s="240"/>
      <c r="X460" s="64"/>
      <c r="Y460" s="75"/>
      <c r="Z460" s="64"/>
      <c r="AA460" s="64"/>
      <c r="AB460" s="25"/>
      <c r="AC460" s="23"/>
      <c r="AD460" s="23"/>
      <c r="AE460" s="23"/>
      <c r="AF460" s="335"/>
      <c r="AG460" s="336"/>
      <c r="AH460" s="334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</row>
    <row r="461" spans="1:346" s="26" customFormat="1" ht="12" hidden="1" customHeight="1" x14ac:dyDescent="0.25">
      <c r="A461" s="21"/>
      <c r="B461" s="21"/>
      <c r="C461" s="22"/>
      <c r="D461" s="353"/>
      <c r="E461" s="73"/>
      <c r="F461" s="7"/>
      <c r="G461" s="7"/>
      <c r="H461" s="7"/>
      <c r="I461" s="180"/>
      <c r="J461" s="180"/>
      <c r="K461" s="284"/>
      <c r="L461" s="193"/>
      <c r="M461" s="180"/>
      <c r="N461" s="180"/>
      <c r="O461" s="180"/>
      <c r="P461" s="180"/>
      <c r="Q461" s="180"/>
      <c r="R461" s="180"/>
      <c r="S461" s="24"/>
      <c r="T461" s="182"/>
      <c r="U461" s="24"/>
      <c r="V461" s="32"/>
      <c r="W461" s="240"/>
      <c r="X461" s="64"/>
      <c r="Y461" s="75"/>
      <c r="Z461" s="64"/>
      <c r="AA461" s="64"/>
      <c r="AB461" s="25"/>
      <c r="AC461" s="23"/>
      <c r="AD461" s="23"/>
      <c r="AE461" s="23"/>
      <c r="AF461" s="335"/>
      <c r="AG461" s="336"/>
      <c r="AH461" s="334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</row>
    <row r="462" spans="1:346" s="26" customFormat="1" ht="12" hidden="1" customHeight="1" x14ac:dyDescent="0.25">
      <c r="A462" s="21"/>
      <c r="B462" s="21"/>
      <c r="C462" s="22"/>
      <c r="D462" s="353"/>
      <c r="E462" s="73"/>
      <c r="F462" s="7"/>
      <c r="G462" s="7"/>
      <c r="H462" s="7"/>
      <c r="I462" s="180"/>
      <c r="J462" s="180"/>
      <c r="K462" s="284"/>
      <c r="L462" s="193"/>
      <c r="M462" s="180"/>
      <c r="N462" s="180"/>
      <c r="O462" s="180"/>
      <c r="P462" s="180"/>
      <c r="Q462" s="180"/>
      <c r="R462" s="180"/>
      <c r="S462" s="24"/>
      <c r="T462" s="182"/>
      <c r="U462" s="24"/>
      <c r="V462" s="32"/>
      <c r="W462" s="240"/>
      <c r="X462" s="64"/>
      <c r="Y462" s="75"/>
      <c r="Z462" s="64"/>
      <c r="AA462" s="64"/>
      <c r="AB462" s="25"/>
      <c r="AC462" s="23"/>
      <c r="AD462" s="23"/>
      <c r="AE462" s="23"/>
      <c r="AF462" s="335"/>
      <c r="AG462" s="336"/>
      <c r="AH462" s="334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</row>
    <row r="463" spans="1:346" s="26" customFormat="1" ht="12" hidden="1" customHeight="1" x14ac:dyDescent="0.25">
      <c r="A463" s="21"/>
      <c r="B463" s="21"/>
      <c r="C463" s="22"/>
      <c r="D463" s="353"/>
      <c r="E463" s="73"/>
      <c r="F463" s="7"/>
      <c r="G463" s="7"/>
      <c r="H463" s="7"/>
      <c r="I463" s="180"/>
      <c r="J463" s="180"/>
      <c r="K463" s="284"/>
      <c r="L463" s="193"/>
      <c r="M463" s="180"/>
      <c r="N463" s="180"/>
      <c r="O463" s="180"/>
      <c r="P463" s="180"/>
      <c r="Q463" s="180"/>
      <c r="R463" s="180"/>
      <c r="S463" s="24"/>
      <c r="T463" s="182"/>
      <c r="U463" s="24"/>
      <c r="V463" s="32"/>
      <c r="W463" s="240"/>
      <c r="X463" s="64"/>
      <c r="Y463" s="75"/>
      <c r="Z463" s="64"/>
      <c r="AA463" s="64"/>
      <c r="AB463" s="25"/>
      <c r="AC463" s="23"/>
      <c r="AD463" s="23"/>
      <c r="AE463" s="23"/>
      <c r="AF463" s="335"/>
      <c r="AG463" s="336"/>
      <c r="AH463" s="334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</row>
    <row r="464" spans="1:346" s="26" customFormat="1" ht="12" hidden="1" customHeight="1" x14ac:dyDescent="0.25">
      <c r="A464" s="21"/>
      <c r="B464" s="21"/>
      <c r="C464" s="22"/>
      <c r="D464" s="353"/>
      <c r="E464" s="73"/>
      <c r="F464" s="7"/>
      <c r="G464" s="7"/>
      <c r="H464" s="7"/>
      <c r="I464" s="180"/>
      <c r="J464" s="180"/>
      <c r="K464" s="284"/>
      <c r="L464" s="193"/>
      <c r="M464" s="180"/>
      <c r="N464" s="180"/>
      <c r="O464" s="180"/>
      <c r="P464" s="180"/>
      <c r="Q464" s="180"/>
      <c r="R464" s="180"/>
      <c r="S464" s="24"/>
      <c r="T464" s="182"/>
      <c r="U464" s="24"/>
      <c r="V464" s="32"/>
      <c r="W464" s="240"/>
      <c r="X464" s="64"/>
      <c r="Y464" s="75"/>
      <c r="Z464" s="64"/>
      <c r="AA464" s="64"/>
      <c r="AB464" s="25"/>
      <c r="AC464" s="23"/>
      <c r="AD464" s="23"/>
      <c r="AE464" s="23"/>
      <c r="AF464" s="335"/>
      <c r="AG464" s="336"/>
      <c r="AH464" s="334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</row>
    <row r="465" spans="1:346" s="26" customFormat="1" ht="12" hidden="1" customHeight="1" x14ac:dyDescent="0.25">
      <c r="A465" s="21"/>
      <c r="B465" s="21"/>
      <c r="C465" s="22"/>
      <c r="D465" s="353"/>
      <c r="E465" s="73"/>
      <c r="F465" s="7"/>
      <c r="G465" s="7"/>
      <c r="H465" s="7"/>
      <c r="I465" s="180"/>
      <c r="J465" s="180"/>
      <c r="K465" s="284"/>
      <c r="L465" s="193"/>
      <c r="M465" s="180"/>
      <c r="N465" s="180"/>
      <c r="O465" s="180"/>
      <c r="P465" s="180"/>
      <c r="Q465" s="180"/>
      <c r="R465" s="180"/>
      <c r="S465" s="24"/>
      <c r="T465" s="182"/>
      <c r="U465" s="24"/>
      <c r="V465" s="32"/>
      <c r="W465" s="240"/>
      <c r="X465" s="64"/>
      <c r="Y465" s="75"/>
      <c r="Z465" s="64"/>
      <c r="AA465" s="64"/>
      <c r="AB465" s="25"/>
      <c r="AC465" s="23"/>
      <c r="AD465" s="23"/>
      <c r="AE465" s="23"/>
      <c r="AF465" s="335"/>
      <c r="AG465" s="336"/>
      <c r="AH465" s="334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</row>
    <row r="466" spans="1:346" s="26" customFormat="1" ht="12" hidden="1" customHeight="1" x14ac:dyDescent="0.25">
      <c r="A466" s="21"/>
      <c r="B466" s="21"/>
      <c r="C466" s="22"/>
      <c r="D466" s="353"/>
      <c r="E466" s="73"/>
      <c r="F466" s="7"/>
      <c r="G466" s="7"/>
      <c r="H466" s="7"/>
      <c r="I466" s="180"/>
      <c r="J466" s="180"/>
      <c r="K466" s="284"/>
      <c r="L466" s="193"/>
      <c r="M466" s="180"/>
      <c r="N466" s="180"/>
      <c r="O466" s="180"/>
      <c r="P466" s="180"/>
      <c r="Q466" s="180"/>
      <c r="R466" s="180"/>
      <c r="S466" s="24"/>
      <c r="T466" s="182"/>
      <c r="U466" s="24"/>
      <c r="V466" s="32"/>
      <c r="W466" s="240"/>
      <c r="X466" s="64"/>
      <c r="Y466" s="75"/>
      <c r="Z466" s="64"/>
      <c r="AA466" s="64"/>
      <c r="AB466" s="25"/>
      <c r="AC466" s="23"/>
      <c r="AD466" s="23"/>
      <c r="AE466" s="23"/>
      <c r="AF466" s="335"/>
      <c r="AG466" s="336"/>
      <c r="AH466" s="334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</row>
    <row r="467" spans="1:346" s="26" customFormat="1" ht="12" hidden="1" customHeight="1" x14ac:dyDescent="0.25">
      <c r="A467" s="21"/>
      <c r="B467" s="21"/>
      <c r="C467" s="22"/>
      <c r="D467" s="353"/>
      <c r="E467" s="73"/>
      <c r="F467" s="7"/>
      <c r="G467" s="7"/>
      <c r="H467" s="7"/>
      <c r="I467" s="180"/>
      <c r="J467" s="180"/>
      <c r="K467" s="284"/>
      <c r="L467" s="193"/>
      <c r="M467" s="180"/>
      <c r="N467" s="180"/>
      <c r="O467" s="180"/>
      <c r="P467" s="180"/>
      <c r="Q467" s="180"/>
      <c r="R467" s="180"/>
      <c r="S467" s="24"/>
      <c r="T467" s="182"/>
      <c r="U467" s="24"/>
      <c r="V467" s="32"/>
      <c r="W467" s="240"/>
      <c r="X467" s="64"/>
      <c r="Y467" s="75"/>
      <c r="Z467" s="64"/>
      <c r="AA467" s="64"/>
      <c r="AB467" s="25"/>
      <c r="AC467" s="23"/>
      <c r="AD467" s="23"/>
      <c r="AE467" s="23"/>
      <c r="AF467" s="335"/>
      <c r="AG467" s="336"/>
      <c r="AH467" s="334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</row>
    <row r="468" spans="1:346" s="26" customFormat="1" ht="12" hidden="1" customHeight="1" x14ac:dyDescent="0.25">
      <c r="A468" s="21"/>
      <c r="B468" s="21"/>
      <c r="C468" s="22"/>
      <c r="D468" s="353"/>
      <c r="E468" s="73"/>
      <c r="F468" s="7"/>
      <c r="G468" s="7"/>
      <c r="H468" s="7"/>
      <c r="I468" s="180"/>
      <c r="J468" s="180"/>
      <c r="K468" s="284"/>
      <c r="L468" s="193"/>
      <c r="M468" s="180"/>
      <c r="N468" s="180"/>
      <c r="O468" s="180"/>
      <c r="P468" s="180"/>
      <c r="Q468" s="180"/>
      <c r="R468" s="180"/>
      <c r="S468" s="24"/>
      <c r="T468" s="182"/>
      <c r="U468" s="24"/>
      <c r="V468" s="32"/>
      <c r="W468" s="240"/>
      <c r="X468" s="64"/>
      <c r="Y468" s="75"/>
      <c r="Z468" s="64"/>
      <c r="AA468" s="64"/>
      <c r="AB468" s="25"/>
      <c r="AC468" s="23"/>
      <c r="AD468" s="23"/>
      <c r="AE468" s="23"/>
      <c r="AF468" s="335"/>
      <c r="AG468" s="336"/>
      <c r="AH468" s="334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</row>
    <row r="469" spans="1:346" s="26" customFormat="1" ht="12" hidden="1" customHeight="1" x14ac:dyDescent="0.25">
      <c r="A469" s="21"/>
      <c r="B469" s="21"/>
      <c r="C469" s="22"/>
      <c r="D469" s="353"/>
      <c r="E469" s="73"/>
      <c r="F469" s="7"/>
      <c r="G469" s="7"/>
      <c r="H469" s="7"/>
      <c r="I469" s="180"/>
      <c r="J469" s="180"/>
      <c r="K469" s="284"/>
      <c r="L469" s="193"/>
      <c r="M469" s="180"/>
      <c r="N469" s="180"/>
      <c r="O469" s="180"/>
      <c r="P469" s="180"/>
      <c r="Q469" s="180"/>
      <c r="R469" s="180"/>
      <c r="S469" s="24"/>
      <c r="T469" s="182"/>
      <c r="U469" s="24"/>
      <c r="V469" s="32"/>
      <c r="W469" s="240"/>
      <c r="X469" s="64"/>
      <c r="Y469" s="75"/>
      <c r="Z469" s="64"/>
      <c r="AA469" s="64"/>
      <c r="AB469" s="25"/>
      <c r="AC469" s="23"/>
      <c r="AD469" s="23"/>
      <c r="AE469" s="23"/>
      <c r="AF469" s="335"/>
      <c r="AG469" s="336"/>
      <c r="AH469" s="334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</row>
    <row r="470" spans="1:346" s="26" customFormat="1" ht="12" hidden="1" customHeight="1" x14ac:dyDescent="0.25">
      <c r="A470" s="21"/>
      <c r="B470" s="21"/>
      <c r="C470" s="22"/>
      <c r="D470" s="353"/>
      <c r="E470" s="73"/>
      <c r="F470" s="7"/>
      <c r="G470" s="7"/>
      <c r="H470" s="7"/>
      <c r="I470" s="180"/>
      <c r="J470" s="180"/>
      <c r="K470" s="284"/>
      <c r="L470" s="193"/>
      <c r="M470" s="180"/>
      <c r="N470" s="180"/>
      <c r="O470" s="180"/>
      <c r="P470" s="180"/>
      <c r="Q470" s="180"/>
      <c r="R470" s="180"/>
      <c r="S470" s="24"/>
      <c r="T470" s="182"/>
      <c r="U470" s="24"/>
      <c r="V470" s="32"/>
      <c r="W470" s="240"/>
      <c r="X470" s="64"/>
      <c r="Y470" s="75"/>
      <c r="Z470" s="64"/>
      <c r="AA470" s="64"/>
      <c r="AB470" s="25"/>
      <c r="AC470" s="23"/>
      <c r="AD470" s="23"/>
      <c r="AE470" s="23"/>
      <c r="AF470" s="335"/>
      <c r="AG470" s="336"/>
      <c r="AH470" s="334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</row>
    <row r="471" spans="1:346" s="26" customFormat="1" ht="12" hidden="1" customHeight="1" x14ac:dyDescent="0.25">
      <c r="A471" s="21"/>
      <c r="B471" s="21"/>
      <c r="C471" s="22"/>
      <c r="D471" s="353"/>
      <c r="E471" s="73"/>
      <c r="F471" s="7"/>
      <c r="G471" s="7"/>
      <c r="H471" s="7"/>
      <c r="I471" s="180"/>
      <c r="J471" s="180"/>
      <c r="K471" s="284"/>
      <c r="L471" s="193"/>
      <c r="M471" s="180"/>
      <c r="N471" s="180"/>
      <c r="O471" s="180"/>
      <c r="P471" s="180"/>
      <c r="Q471" s="180"/>
      <c r="R471" s="180"/>
      <c r="S471" s="24"/>
      <c r="T471" s="182"/>
      <c r="U471" s="24"/>
      <c r="V471" s="32"/>
      <c r="W471" s="240"/>
      <c r="X471" s="64"/>
      <c r="Y471" s="75"/>
      <c r="Z471" s="64"/>
      <c r="AA471" s="64"/>
      <c r="AB471" s="25"/>
      <c r="AC471" s="23"/>
      <c r="AD471" s="23"/>
      <c r="AE471" s="23"/>
      <c r="AF471" s="335"/>
      <c r="AG471" s="336"/>
      <c r="AH471" s="334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</row>
    <row r="472" spans="1:346" s="26" customFormat="1" ht="12" hidden="1" customHeight="1" x14ac:dyDescent="0.25">
      <c r="A472" s="21"/>
      <c r="B472" s="21"/>
      <c r="C472" s="22"/>
      <c r="D472" s="353"/>
      <c r="E472" s="73"/>
      <c r="F472" s="7"/>
      <c r="G472" s="7"/>
      <c r="H472" s="7"/>
      <c r="I472" s="180"/>
      <c r="J472" s="180"/>
      <c r="K472" s="284"/>
      <c r="L472" s="193"/>
      <c r="M472" s="180"/>
      <c r="N472" s="180"/>
      <c r="O472" s="180"/>
      <c r="P472" s="180"/>
      <c r="Q472" s="180"/>
      <c r="R472" s="180"/>
      <c r="S472" s="24"/>
      <c r="T472" s="182"/>
      <c r="U472" s="24"/>
      <c r="V472" s="32"/>
      <c r="W472" s="240"/>
      <c r="X472" s="64"/>
      <c r="Y472" s="75"/>
      <c r="Z472" s="64"/>
      <c r="AA472" s="64"/>
      <c r="AB472" s="25"/>
      <c r="AC472" s="23"/>
      <c r="AD472" s="23"/>
      <c r="AE472" s="23"/>
      <c r="AF472" s="335"/>
      <c r="AG472" s="336"/>
      <c r="AH472" s="334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</row>
    <row r="473" spans="1:346" s="26" customFormat="1" ht="12" hidden="1" customHeight="1" x14ac:dyDescent="0.25">
      <c r="A473" s="21"/>
      <c r="B473" s="21"/>
      <c r="C473" s="22"/>
      <c r="D473" s="353"/>
      <c r="E473" s="73"/>
      <c r="F473" s="7"/>
      <c r="G473" s="7"/>
      <c r="H473" s="7"/>
      <c r="I473" s="180"/>
      <c r="J473" s="180"/>
      <c r="K473" s="284"/>
      <c r="L473" s="193"/>
      <c r="M473" s="180"/>
      <c r="N473" s="180"/>
      <c r="O473" s="180"/>
      <c r="P473" s="180"/>
      <c r="Q473" s="180"/>
      <c r="R473" s="180"/>
      <c r="S473" s="24"/>
      <c r="T473" s="182"/>
      <c r="U473" s="24"/>
      <c r="V473" s="32"/>
      <c r="W473" s="240"/>
      <c r="X473" s="64"/>
      <c r="Y473" s="75"/>
      <c r="Z473" s="64"/>
      <c r="AA473" s="64"/>
      <c r="AB473" s="25"/>
      <c r="AC473" s="23"/>
      <c r="AD473" s="23"/>
      <c r="AE473" s="23"/>
      <c r="AF473" s="335"/>
      <c r="AG473" s="336"/>
      <c r="AH473" s="334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</row>
    <row r="474" spans="1:346" s="26" customFormat="1" ht="12" hidden="1" customHeight="1" x14ac:dyDescent="0.25">
      <c r="A474" s="21"/>
      <c r="B474" s="21"/>
      <c r="C474" s="22"/>
      <c r="D474" s="353"/>
      <c r="E474" s="73"/>
      <c r="F474" s="7"/>
      <c r="G474" s="7"/>
      <c r="H474" s="7"/>
      <c r="I474" s="180"/>
      <c r="J474" s="180"/>
      <c r="K474" s="284"/>
      <c r="L474" s="193"/>
      <c r="M474" s="180"/>
      <c r="N474" s="180"/>
      <c r="O474" s="180"/>
      <c r="P474" s="180"/>
      <c r="Q474" s="180"/>
      <c r="R474" s="180"/>
      <c r="S474" s="24"/>
      <c r="T474" s="182"/>
      <c r="U474" s="24"/>
      <c r="V474" s="32"/>
      <c r="W474" s="240"/>
      <c r="X474" s="64"/>
      <c r="Y474" s="75"/>
      <c r="Z474" s="64"/>
      <c r="AA474" s="64"/>
      <c r="AB474" s="25"/>
      <c r="AC474" s="23"/>
      <c r="AD474" s="23"/>
      <c r="AE474" s="23"/>
      <c r="AF474" s="335"/>
      <c r="AG474" s="336"/>
      <c r="AH474" s="334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</row>
    <row r="475" spans="1:346" s="26" customFormat="1" ht="12" hidden="1" customHeight="1" x14ac:dyDescent="0.25">
      <c r="A475" s="21"/>
      <c r="B475" s="21"/>
      <c r="C475" s="22"/>
      <c r="D475" s="353"/>
      <c r="E475" s="73"/>
      <c r="F475" s="7"/>
      <c r="G475" s="7"/>
      <c r="H475" s="7"/>
      <c r="I475" s="180"/>
      <c r="J475" s="180"/>
      <c r="K475" s="284"/>
      <c r="L475" s="193"/>
      <c r="M475" s="180"/>
      <c r="N475" s="180"/>
      <c r="O475" s="180"/>
      <c r="P475" s="180"/>
      <c r="Q475" s="180"/>
      <c r="R475" s="180"/>
      <c r="S475" s="24"/>
      <c r="T475" s="182"/>
      <c r="U475" s="24"/>
      <c r="V475" s="32"/>
      <c r="W475" s="240"/>
      <c r="X475" s="64"/>
      <c r="Y475" s="75"/>
      <c r="Z475" s="64"/>
      <c r="AA475" s="64"/>
      <c r="AB475" s="25"/>
      <c r="AC475" s="23"/>
      <c r="AD475" s="23"/>
      <c r="AE475" s="23"/>
      <c r="AF475" s="335"/>
      <c r="AG475" s="336"/>
      <c r="AH475" s="334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</row>
    <row r="476" spans="1:346" s="26" customFormat="1" ht="12" hidden="1" customHeight="1" x14ac:dyDescent="0.25">
      <c r="A476" s="21"/>
      <c r="B476" s="21"/>
      <c r="C476" s="22"/>
      <c r="D476" s="353"/>
      <c r="E476" s="73"/>
      <c r="F476" s="7"/>
      <c r="G476" s="7"/>
      <c r="H476" s="7"/>
      <c r="I476" s="180"/>
      <c r="J476" s="180"/>
      <c r="K476" s="284"/>
      <c r="L476" s="193"/>
      <c r="M476" s="180"/>
      <c r="N476" s="180"/>
      <c r="O476" s="180"/>
      <c r="P476" s="180"/>
      <c r="Q476" s="180"/>
      <c r="R476" s="180"/>
      <c r="S476" s="24"/>
      <c r="T476" s="182"/>
      <c r="U476" s="24"/>
      <c r="V476" s="32"/>
      <c r="W476" s="240"/>
      <c r="X476" s="64"/>
      <c r="Y476" s="75"/>
      <c r="Z476" s="64"/>
      <c r="AA476" s="64"/>
      <c r="AB476" s="25"/>
      <c r="AC476" s="23"/>
      <c r="AD476" s="23"/>
      <c r="AE476" s="23"/>
      <c r="AF476" s="335"/>
      <c r="AG476" s="336"/>
      <c r="AH476" s="334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</row>
    <row r="477" spans="1:346" s="26" customFormat="1" ht="12" hidden="1" customHeight="1" x14ac:dyDescent="0.25">
      <c r="A477" s="21"/>
      <c r="B477" s="21"/>
      <c r="C477" s="22"/>
      <c r="D477" s="353"/>
      <c r="E477" s="73"/>
      <c r="F477" s="7"/>
      <c r="G477" s="7"/>
      <c r="H477" s="7"/>
      <c r="I477" s="180"/>
      <c r="J477" s="180"/>
      <c r="K477" s="284"/>
      <c r="L477" s="193"/>
      <c r="M477" s="180"/>
      <c r="N477" s="180"/>
      <c r="O477" s="180"/>
      <c r="P477" s="180"/>
      <c r="Q477" s="180"/>
      <c r="R477" s="180"/>
      <c r="S477" s="24"/>
      <c r="T477" s="182"/>
      <c r="U477" s="24"/>
      <c r="V477" s="32"/>
      <c r="W477" s="240"/>
      <c r="X477" s="64"/>
      <c r="Y477" s="75"/>
      <c r="Z477" s="64"/>
      <c r="AA477" s="64"/>
      <c r="AB477" s="25"/>
      <c r="AC477" s="23"/>
      <c r="AD477" s="23"/>
      <c r="AE477" s="23"/>
      <c r="AF477" s="335"/>
      <c r="AG477" s="336"/>
      <c r="AH477" s="334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</row>
    <row r="478" spans="1:346" s="26" customFormat="1" ht="12" hidden="1" customHeight="1" x14ac:dyDescent="0.25">
      <c r="A478" s="21"/>
      <c r="B478" s="21"/>
      <c r="C478" s="22"/>
      <c r="D478" s="353"/>
      <c r="E478" s="73"/>
      <c r="F478" s="7"/>
      <c r="G478" s="7"/>
      <c r="H478" s="7"/>
      <c r="I478" s="180"/>
      <c r="J478" s="180"/>
      <c r="K478" s="284"/>
      <c r="L478" s="193"/>
      <c r="M478" s="180"/>
      <c r="N478" s="180"/>
      <c r="O478" s="180"/>
      <c r="P478" s="180"/>
      <c r="Q478" s="180"/>
      <c r="R478" s="180"/>
      <c r="S478" s="24"/>
      <c r="T478" s="182"/>
      <c r="U478" s="24"/>
      <c r="V478" s="32"/>
      <c r="W478" s="240"/>
      <c r="X478" s="64"/>
      <c r="Y478" s="75"/>
      <c r="Z478" s="64"/>
      <c r="AA478" s="64"/>
      <c r="AB478" s="25"/>
      <c r="AC478" s="23"/>
      <c r="AD478" s="23"/>
      <c r="AE478" s="23"/>
      <c r="AF478" s="335"/>
      <c r="AG478" s="336"/>
      <c r="AH478" s="334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</row>
    <row r="479" spans="1:346" s="26" customFormat="1" ht="12" hidden="1" customHeight="1" x14ac:dyDescent="0.25">
      <c r="A479" s="21"/>
      <c r="B479" s="21"/>
      <c r="C479" s="22"/>
      <c r="D479" s="353"/>
      <c r="E479" s="73"/>
      <c r="F479" s="7"/>
      <c r="G479" s="7"/>
      <c r="H479" s="7"/>
      <c r="I479" s="180"/>
      <c r="J479" s="180"/>
      <c r="K479" s="284"/>
      <c r="L479" s="193"/>
      <c r="M479" s="180"/>
      <c r="N479" s="180"/>
      <c r="O479" s="180"/>
      <c r="P479" s="180"/>
      <c r="Q479" s="180"/>
      <c r="R479" s="180"/>
      <c r="S479" s="24"/>
      <c r="T479" s="182"/>
      <c r="U479" s="24"/>
      <c r="V479" s="32"/>
      <c r="W479" s="240"/>
      <c r="X479" s="64"/>
      <c r="Y479" s="75"/>
      <c r="Z479" s="64"/>
      <c r="AA479" s="64"/>
      <c r="AB479" s="25"/>
      <c r="AC479" s="23"/>
      <c r="AD479" s="23"/>
      <c r="AE479" s="23"/>
      <c r="AF479" s="335"/>
      <c r="AG479" s="336"/>
      <c r="AH479" s="334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</row>
    <row r="480" spans="1:346" s="26" customFormat="1" ht="12" hidden="1" customHeight="1" x14ac:dyDescent="0.25">
      <c r="A480" s="21"/>
      <c r="B480" s="21"/>
      <c r="C480" s="22"/>
      <c r="D480" s="353"/>
      <c r="E480" s="73"/>
      <c r="F480" s="7"/>
      <c r="G480" s="7"/>
      <c r="H480" s="7"/>
      <c r="I480" s="180"/>
      <c r="J480" s="180"/>
      <c r="K480" s="284"/>
      <c r="L480" s="193"/>
      <c r="M480" s="180"/>
      <c r="N480" s="180"/>
      <c r="O480" s="180"/>
      <c r="P480" s="180"/>
      <c r="Q480" s="180"/>
      <c r="R480" s="180"/>
      <c r="S480" s="24"/>
      <c r="T480" s="182"/>
      <c r="U480" s="24"/>
      <c r="V480" s="32"/>
      <c r="W480" s="240"/>
      <c r="X480" s="64"/>
      <c r="Y480" s="75"/>
      <c r="Z480" s="64"/>
      <c r="AA480" s="64"/>
      <c r="AB480" s="25"/>
      <c r="AC480" s="23"/>
      <c r="AD480" s="23"/>
      <c r="AE480" s="23"/>
      <c r="AF480" s="335"/>
      <c r="AG480" s="336"/>
      <c r="AH480" s="334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</row>
    <row r="481" spans="1:346" s="26" customFormat="1" ht="12" hidden="1" customHeight="1" x14ac:dyDescent="0.25">
      <c r="A481" s="21"/>
      <c r="B481" s="21"/>
      <c r="C481" s="22"/>
      <c r="D481" s="353"/>
      <c r="E481" s="73"/>
      <c r="F481" s="7"/>
      <c r="G481" s="7"/>
      <c r="H481" s="7"/>
      <c r="I481" s="180"/>
      <c r="J481" s="180"/>
      <c r="K481" s="284"/>
      <c r="L481" s="193"/>
      <c r="M481" s="180"/>
      <c r="N481" s="180"/>
      <c r="O481" s="180"/>
      <c r="P481" s="180"/>
      <c r="Q481" s="180"/>
      <c r="R481" s="180"/>
      <c r="S481" s="24"/>
      <c r="T481" s="182"/>
      <c r="U481" s="24"/>
      <c r="V481" s="32"/>
      <c r="W481" s="240"/>
      <c r="X481" s="64"/>
      <c r="Y481" s="75"/>
      <c r="Z481" s="64"/>
      <c r="AA481" s="64"/>
      <c r="AB481" s="25"/>
      <c r="AC481" s="23"/>
      <c r="AD481" s="23"/>
      <c r="AE481" s="23"/>
      <c r="AF481" s="335"/>
      <c r="AG481" s="336"/>
      <c r="AH481" s="334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</row>
    <row r="482" spans="1:346" s="26" customFormat="1" ht="12" hidden="1" customHeight="1" x14ac:dyDescent="0.25">
      <c r="A482" s="21"/>
      <c r="B482" s="21"/>
      <c r="C482" s="22"/>
      <c r="D482" s="353"/>
      <c r="E482" s="73"/>
      <c r="F482" s="7"/>
      <c r="G482" s="7"/>
      <c r="H482" s="7"/>
      <c r="I482" s="180"/>
      <c r="J482" s="180"/>
      <c r="K482" s="284"/>
      <c r="L482" s="193"/>
      <c r="M482" s="180"/>
      <c r="N482" s="180"/>
      <c r="O482" s="180"/>
      <c r="P482" s="180"/>
      <c r="Q482" s="180"/>
      <c r="R482" s="180"/>
      <c r="S482" s="24"/>
      <c r="T482" s="182"/>
      <c r="U482" s="24"/>
      <c r="V482" s="32"/>
      <c r="W482" s="240"/>
      <c r="X482" s="64"/>
      <c r="Y482" s="75"/>
      <c r="Z482" s="64"/>
      <c r="AA482" s="64"/>
      <c r="AB482" s="25"/>
      <c r="AC482" s="23"/>
      <c r="AD482" s="23"/>
      <c r="AE482" s="23"/>
      <c r="AF482" s="335"/>
      <c r="AG482" s="336"/>
      <c r="AH482" s="334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</row>
    <row r="483" spans="1:346" s="26" customFormat="1" ht="12" hidden="1" customHeight="1" x14ac:dyDescent="0.25">
      <c r="A483" s="21"/>
      <c r="B483" s="21"/>
      <c r="C483" s="22"/>
      <c r="D483" s="353"/>
      <c r="E483" s="73"/>
      <c r="F483" s="7"/>
      <c r="G483" s="7"/>
      <c r="H483" s="7"/>
      <c r="I483" s="180"/>
      <c r="J483" s="180"/>
      <c r="K483" s="284"/>
      <c r="L483" s="193"/>
      <c r="M483" s="180"/>
      <c r="N483" s="180"/>
      <c r="O483" s="180"/>
      <c r="P483" s="180"/>
      <c r="Q483" s="180"/>
      <c r="R483" s="180"/>
      <c r="S483" s="24"/>
      <c r="T483" s="182"/>
      <c r="U483" s="24"/>
      <c r="V483" s="32"/>
      <c r="W483" s="240"/>
      <c r="X483" s="64"/>
      <c r="Y483" s="75"/>
      <c r="Z483" s="64"/>
      <c r="AA483" s="64"/>
      <c r="AB483" s="25"/>
      <c r="AC483" s="23"/>
      <c r="AD483" s="23"/>
      <c r="AE483" s="23"/>
      <c r="AF483" s="335"/>
      <c r="AG483" s="336"/>
      <c r="AH483" s="334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</row>
    <row r="484" spans="1:346" s="26" customFormat="1" ht="12" hidden="1" customHeight="1" x14ac:dyDescent="0.25">
      <c r="A484" s="21"/>
      <c r="B484" s="21"/>
      <c r="C484" s="22"/>
      <c r="D484" s="353"/>
      <c r="E484" s="73"/>
      <c r="F484" s="7"/>
      <c r="G484" s="7"/>
      <c r="H484" s="7"/>
      <c r="I484" s="180"/>
      <c r="J484" s="180"/>
      <c r="K484" s="284"/>
      <c r="L484" s="193"/>
      <c r="M484" s="180"/>
      <c r="N484" s="180"/>
      <c r="O484" s="180"/>
      <c r="P484" s="180"/>
      <c r="Q484" s="180"/>
      <c r="R484" s="180"/>
      <c r="S484" s="24"/>
      <c r="T484" s="182"/>
      <c r="U484" s="24"/>
      <c r="V484" s="32"/>
      <c r="W484" s="240"/>
      <c r="X484" s="64"/>
      <c r="Y484" s="75"/>
      <c r="Z484" s="64"/>
      <c r="AA484" s="64"/>
      <c r="AB484" s="25"/>
      <c r="AC484" s="23"/>
      <c r="AD484" s="23"/>
      <c r="AE484" s="23"/>
      <c r="AF484" s="335"/>
      <c r="AG484" s="336"/>
      <c r="AH484" s="334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</row>
    <row r="485" spans="1:346" s="26" customFormat="1" ht="12" hidden="1" customHeight="1" x14ac:dyDescent="0.25">
      <c r="A485" s="21"/>
      <c r="B485" s="21"/>
      <c r="C485" s="22"/>
      <c r="D485" s="353"/>
      <c r="E485" s="73"/>
      <c r="F485" s="7"/>
      <c r="G485" s="7"/>
      <c r="H485" s="7"/>
      <c r="I485" s="180"/>
      <c r="J485" s="180"/>
      <c r="K485" s="284"/>
      <c r="L485" s="193"/>
      <c r="M485" s="180"/>
      <c r="N485" s="180"/>
      <c r="O485" s="180"/>
      <c r="P485" s="180"/>
      <c r="Q485" s="180"/>
      <c r="R485" s="180"/>
      <c r="S485" s="24"/>
      <c r="T485" s="182"/>
      <c r="U485" s="24"/>
      <c r="V485" s="32"/>
      <c r="W485" s="240"/>
      <c r="X485" s="64"/>
      <c r="Y485" s="75"/>
      <c r="Z485" s="64"/>
      <c r="AA485" s="64"/>
      <c r="AB485" s="25"/>
      <c r="AC485" s="23"/>
      <c r="AD485" s="23"/>
      <c r="AE485" s="23"/>
      <c r="AF485" s="335"/>
      <c r="AG485" s="336"/>
      <c r="AH485" s="334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</row>
    <row r="486" spans="1:346" s="26" customFormat="1" ht="12" hidden="1" customHeight="1" x14ac:dyDescent="0.25">
      <c r="A486" s="21"/>
      <c r="B486" s="21"/>
      <c r="C486" s="22"/>
      <c r="D486" s="353"/>
      <c r="E486" s="73"/>
      <c r="F486" s="7"/>
      <c r="G486" s="7"/>
      <c r="H486" s="7"/>
      <c r="I486" s="180"/>
      <c r="J486" s="180"/>
      <c r="K486" s="284"/>
      <c r="L486" s="193"/>
      <c r="M486" s="180"/>
      <c r="N486" s="180"/>
      <c r="O486" s="180"/>
      <c r="P486" s="180"/>
      <c r="Q486" s="180"/>
      <c r="R486" s="180"/>
      <c r="S486" s="24"/>
      <c r="T486" s="182"/>
      <c r="U486" s="24"/>
      <c r="V486" s="32"/>
      <c r="W486" s="240"/>
      <c r="X486" s="64"/>
      <c r="Y486" s="75"/>
      <c r="Z486" s="64"/>
      <c r="AA486" s="64"/>
      <c r="AB486" s="25"/>
      <c r="AC486" s="23"/>
      <c r="AD486" s="23"/>
      <c r="AE486" s="23"/>
      <c r="AF486" s="335"/>
      <c r="AG486" s="336"/>
      <c r="AH486" s="334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</row>
    <row r="487" spans="1:346" s="26" customFormat="1" ht="12" hidden="1" customHeight="1" x14ac:dyDescent="0.25">
      <c r="A487" s="21"/>
      <c r="B487" s="21"/>
      <c r="C487" s="22"/>
      <c r="D487" s="353"/>
      <c r="E487" s="73"/>
      <c r="F487" s="7"/>
      <c r="G487" s="7"/>
      <c r="H487" s="7"/>
      <c r="I487" s="180"/>
      <c r="J487" s="180"/>
      <c r="K487" s="284"/>
      <c r="L487" s="193"/>
      <c r="M487" s="180"/>
      <c r="N487" s="180"/>
      <c r="O487" s="180"/>
      <c r="P487" s="180"/>
      <c r="Q487" s="180"/>
      <c r="R487" s="180"/>
      <c r="S487" s="24"/>
      <c r="T487" s="182"/>
      <c r="U487" s="24"/>
      <c r="V487" s="32"/>
      <c r="W487" s="240"/>
      <c r="X487" s="64"/>
      <c r="Y487" s="75"/>
      <c r="Z487" s="64"/>
      <c r="AA487" s="64"/>
      <c r="AB487" s="25"/>
      <c r="AC487" s="23"/>
      <c r="AD487" s="23"/>
      <c r="AE487" s="23"/>
      <c r="AF487" s="335"/>
      <c r="AG487" s="336"/>
      <c r="AH487" s="334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</row>
    <row r="488" spans="1:346" s="26" customFormat="1" ht="12" hidden="1" customHeight="1" x14ac:dyDescent="0.25">
      <c r="A488" s="21"/>
      <c r="B488" s="21"/>
      <c r="C488" s="22"/>
      <c r="D488" s="353"/>
      <c r="E488" s="73"/>
      <c r="F488" s="7"/>
      <c r="G488" s="7"/>
      <c r="H488" s="7"/>
      <c r="I488" s="180"/>
      <c r="J488" s="180"/>
      <c r="K488" s="284"/>
      <c r="L488" s="193"/>
      <c r="M488" s="180"/>
      <c r="N488" s="180"/>
      <c r="O488" s="180"/>
      <c r="P488" s="180"/>
      <c r="Q488" s="180"/>
      <c r="R488" s="180"/>
      <c r="S488" s="24"/>
      <c r="T488" s="182"/>
      <c r="U488" s="24"/>
      <c r="V488" s="32"/>
      <c r="W488" s="240"/>
      <c r="X488" s="64"/>
      <c r="Y488" s="75"/>
      <c r="Z488" s="64"/>
      <c r="AA488" s="64"/>
      <c r="AB488" s="25"/>
      <c r="AC488" s="23"/>
      <c r="AD488" s="23"/>
      <c r="AE488" s="23"/>
      <c r="AF488" s="335"/>
      <c r="AG488" s="336"/>
      <c r="AH488" s="334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</row>
    <row r="489" spans="1:346" s="26" customFormat="1" ht="12" hidden="1" customHeight="1" x14ac:dyDescent="0.25">
      <c r="A489" s="21"/>
      <c r="B489" s="21"/>
      <c r="C489" s="22"/>
      <c r="D489" s="353"/>
      <c r="E489" s="73"/>
      <c r="F489" s="7"/>
      <c r="G489" s="7"/>
      <c r="H489" s="7"/>
      <c r="I489" s="180"/>
      <c r="J489" s="180"/>
      <c r="K489" s="284"/>
      <c r="L489" s="193"/>
      <c r="M489" s="180"/>
      <c r="N489" s="180"/>
      <c r="O489" s="180"/>
      <c r="P489" s="180"/>
      <c r="Q489" s="180"/>
      <c r="R489" s="180"/>
      <c r="S489" s="24"/>
      <c r="T489" s="182"/>
      <c r="U489" s="24"/>
      <c r="V489" s="32"/>
      <c r="W489" s="240"/>
      <c r="X489" s="64"/>
      <c r="Y489" s="75"/>
      <c r="Z489" s="64"/>
      <c r="AA489" s="64"/>
      <c r="AB489" s="25"/>
      <c r="AC489" s="23"/>
      <c r="AD489" s="23"/>
      <c r="AE489" s="23"/>
      <c r="AF489" s="335"/>
      <c r="AG489" s="336"/>
      <c r="AH489" s="334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</row>
    <row r="490" spans="1:346" s="26" customFormat="1" ht="12" hidden="1" customHeight="1" x14ac:dyDescent="0.25">
      <c r="A490" s="21"/>
      <c r="B490" s="21"/>
      <c r="C490" s="22"/>
      <c r="D490" s="353"/>
      <c r="E490" s="73"/>
      <c r="F490" s="7"/>
      <c r="G490" s="7"/>
      <c r="H490" s="7"/>
      <c r="I490" s="180"/>
      <c r="J490" s="180"/>
      <c r="K490" s="284"/>
      <c r="L490" s="193"/>
      <c r="M490" s="180"/>
      <c r="N490" s="180"/>
      <c r="O490" s="180"/>
      <c r="P490" s="180"/>
      <c r="Q490" s="180"/>
      <c r="R490" s="180"/>
      <c r="S490" s="24"/>
      <c r="T490" s="182"/>
      <c r="U490" s="24"/>
      <c r="V490" s="32"/>
      <c r="W490" s="240"/>
      <c r="X490" s="64"/>
      <c r="Y490" s="75"/>
      <c r="Z490" s="64"/>
      <c r="AA490" s="64"/>
      <c r="AB490" s="25"/>
      <c r="AC490" s="23"/>
      <c r="AD490" s="23"/>
      <c r="AE490" s="23"/>
      <c r="AF490" s="335"/>
      <c r="AG490" s="336"/>
      <c r="AH490" s="334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</row>
    <row r="491" spans="1:346" s="26" customFormat="1" ht="12" hidden="1" customHeight="1" x14ac:dyDescent="0.25">
      <c r="A491" s="21"/>
      <c r="B491" s="21"/>
      <c r="C491" s="22"/>
      <c r="D491" s="353"/>
      <c r="E491" s="73"/>
      <c r="F491" s="7"/>
      <c r="G491" s="7"/>
      <c r="H491" s="7"/>
      <c r="I491" s="180"/>
      <c r="J491" s="180"/>
      <c r="K491" s="284"/>
      <c r="L491" s="193"/>
      <c r="M491" s="180"/>
      <c r="N491" s="180"/>
      <c r="O491" s="180"/>
      <c r="P491" s="180"/>
      <c r="Q491" s="180"/>
      <c r="R491" s="180"/>
      <c r="S491" s="24"/>
      <c r="T491" s="182"/>
      <c r="U491" s="24"/>
      <c r="V491" s="32"/>
      <c r="W491" s="240"/>
      <c r="X491" s="64"/>
      <c r="Y491" s="75"/>
      <c r="Z491" s="64"/>
      <c r="AA491" s="64"/>
      <c r="AB491" s="25"/>
      <c r="AC491" s="23"/>
      <c r="AD491" s="23"/>
      <c r="AE491" s="23"/>
      <c r="AF491" s="335"/>
      <c r="AG491" s="336"/>
      <c r="AH491" s="334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</row>
    <row r="492" spans="1:346" s="26" customFormat="1" ht="12" hidden="1" customHeight="1" x14ac:dyDescent="0.25">
      <c r="A492" s="21"/>
      <c r="B492" s="21"/>
      <c r="C492" s="22"/>
      <c r="D492" s="353"/>
      <c r="E492" s="73"/>
      <c r="F492" s="7"/>
      <c r="G492" s="7"/>
      <c r="H492" s="7"/>
      <c r="I492" s="180"/>
      <c r="J492" s="180"/>
      <c r="K492" s="284"/>
      <c r="L492" s="193"/>
      <c r="M492" s="180"/>
      <c r="N492" s="180"/>
      <c r="O492" s="180"/>
      <c r="P492" s="180"/>
      <c r="Q492" s="180"/>
      <c r="R492" s="180"/>
      <c r="S492" s="24"/>
      <c r="T492" s="182"/>
      <c r="U492" s="24"/>
      <c r="V492" s="32"/>
      <c r="W492" s="240"/>
      <c r="X492" s="64"/>
      <c r="Y492" s="75"/>
      <c r="Z492" s="64"/>
      <c r="AA492" s="64"/>
      <c r="AB492" s="25"/>
      <c r="AC492" s="23"/>
      <c r="AD492" s="23"/>
      <c r="AE492" s="23"/>
      <c r="AF492" s="335"/>
      <c r="AG492" s="336"/>
      <c r="AH492" s="334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</row>
    <row r="493" spans="1:346" s="26" customFormat="1" ht="12" hidden="1" customHeight="1" x14ac:dyDescent="0.25">
      <c r="A493" s="21"/>
      <c r="B493" s="21"/>
      <c r="C493" s="22"/>
      <c r="D493" s="353"/>
      <c r="E493" s="73"/>
      <c r="F493" s="7"/>
      <c r="G493" s="7"/>
      <c r="H493" s="7"/>
      <c r="I493" s="180"/>
      <c r="J493" s="180"/>
      <c r="K493" s="284"/>
      <c r="L493" s="193"/>
      <c r="M493" s="180"/>
      <c r="N493" s="180"/>
      <c r="O493" s="180"/>
      <c r="P493" s="180"/>
      <c r="Q493" s="180"/>
      <c r="R493" s="180"/>
      <c r="S493" s="24"/>
      <c r="T493" s="182"/>
      <c r="U493" s="24"/>
      <c r="V493" s="32"/>
      <c r="W493" s="240"/>
      <c r="X493" s="64"/>
      <c r="Y493" s="75"/>
      <c r="Z493" s="64"/>
      <c r="AA493" s="64"/>
      <c r="AB493" s="25"/>
      <c r="AC493" s="23"/>
      <c r="AD493" s="23"/>
      <c r="AE493" s="23"/>
      <c r="AF493" s="335"/>
      <c r="AG493" s="336"/>
      <c r="AH493" s="334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</row>
    <row r="494" spans="1:346" s="26" customFormat="1" ht="12" hidden="1" customHeight="1" x14ac:dyDescent="0.25">
      <c r="A494" s="21"/>
      <c r="B494" s="21"/>
      <c r="C494" s="22"/>
      <c r="D494" s="353"/>
      <c r="E494" s="73"/>
      <c r="F494" s="7"/>
      <c r="G494" s="7"/>
      <c r="H494" s="7"/>
      <c r="I494" s="180"/>
      <c r="J494" s="180"/>
      <c r="K494" s="284"/>
      <c r="L494" s="193"/>
      <c r="M494" s="180"/>
      <c r="N494" s="180"/>
      <c r="O494" s="180"/>
      <c r="P494" s="180"/>
      <c r="Q494" s="180"/>
      <c r="R494" s="180"/>
      <c r="S494" s="24"/>
      <c r="T494" s="182"/>
      <c r="U494" s="24"/>
      <c r="V494" s="32"/>
      <c r="W494" s="240"/>
      <c r="X494" s="64"/>
      <c r="Y494" s="75"/>
      <c r="Z494" s="64"/>
      <c r="AA494" s="64"/>
      <c r="AB494" s="25"/>
      <c r="AC494" s="23"/>
      <c r="AD494" s="23"/>
      <c r="AE494" s="23"/>
      <c r="AF494" s="335"/>
      <c r="AG494" s="336"/>
      <c r="AH494" s="334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</row>
    <row r="495" spans="1:346" s="26" customFormat="1" ht="12" hidden="1" customHeight="1" x14ac:dyDescent="0.25">
      <c r="A495" s="21"/>
      <c r="B495" s="21"/>
      <c r="C495" s="22"/>
      <c r="D495" s="353"/>
      <c r="E495" s="73"/>
      <c r="F495" s="7"/>
      <c r="G495" s="7"/>
      <c r="H495" s="7"/>
      <c r="I495" s="180"/>
      <c r="J495" s="180"/>
      <c r="K495" s="284"/>
      <c r="L495" s="193"/>
      <c r="M495" s="180"/>
      <c r="N495" s="180"/>
      <c r="O495" s="180"/>
      <c r="P495" s="180"/>
      <c r="Q495" s="180"/>
      <c r="R495" s="180"/>
      <c r="S495" s="24"/>
      <c r="T495" s="182"/>
      <c r="U495" s="24"/>
      <c r="V495" s="32"/>
      <c r="W495" s="240"/>
      <c r="X495" s="64"/>
      <c r="Y495" s="75"/>
      <c r="Z495" s="64"/>
      <c r="AA495" s="64"/>
      <c r="AB495" s="25"/>
      <c r="AC495" s="23"/>
      <c r="AD495" s="23"/>
      <c r="AE495" s="23"/>
      <c r="AF495" s="335"/>
      <c r="AG495" s="336"/>
      <c r="AH495" s="334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</row>
    <row r="496" spans="1:346" s="26" customFormat="1" ht="12" hidden="1" customHeight="1" x14ac:dyDescent="0.25">
      <c r="A496" s="21"/>
      <c r="B496" s="21"/>
      <c r="C496" s="22"/>
      <c r="D496" s="353"/>
      <c r="E496" s="73"/>
      <c r="F496" s="7"/>
      <c r="G496" s="7"/>
      <c r="H496" s="7"/>
      <c r="I496" s="180"/>
      <c r="J496" s="180"/>
      <c r="K496" s="284"/>
      <c r="L496" s="193"/>
      <c r="M496" s="180"/>
      <c r="N496" s="180"/>
      <c r="O496" s="180"/>
      <c r="P496" s="180"/>
      <c r="Q496" s="180"/>
      <c r="R496" s="180"/>
      <c r="S496" s="24"/>
      <c r="T496" s="182"/>
      <c r="U496" s="24"/>
      <c r="V496" s="32"/>
      <c r="W496" s="240"/>
      <c r="X496" s="64"/>
      <c r="Y496" s="75"/>
      <c r="Z496" s="64"/>
      <c r="AA496" s="64"/>
      <c r="AB496" s="25"/>
      <c r="AC496" s="23"/>
      <c r="AD496" s="23"/>
      <c r="AE496" s="23"/>
      <c r="AF496" s="335"/>
      <c r="AG496" s="336"/>
      <c r="AH496" s="334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</row>
    <row r="497" spans="1:346" s="26" customFormat="1" ht="12" hidden="1" customHeight="1" x14ac:dyDescent="0.25">
      <c r="A497" s="21"/>
      <c r="B497" s="21"/>
      <c r="C497" s="22"/>
      <c r="D497" s="353"/>
      <c r="E497" s="73"/>
      <c r="F497" s="7"/>
      <c r="G497" s="7"/>
      <c r="H497" s="7"/>
      <c r="I497" s="180"/>
      <c r="J497" s="180"/>
      <c r="K497" s="284"/>
      <c r="L497" s="193"/>
      <c r="M497" s="180"/>
      <c r="N497" s="180"/>
      <c r="O497" s="180"/>
      <c r="P497" s="180"/>
      <c r="Q497" s="180"/>
      <c r="R497" s="180"/>
      <c r="S497" s="24"/>
      <c r="T497" s="182"/>
      <c r="U497" s="24"/>
      <c r="V497" s="32"/>
      <c r="W497" s="240"/>
      <c r="X497" s="64"/>
      <c r="Y497" s="75"/>
      <c r="Z497" s="64"/>
      <c r="AA497" s="64"/>
      <c r="AB497" s="25"/>
      <c r="AC497" s="23"/>
      <c r="AD497" s="23"/>
      <c r="AE497" s="23"/>
      <c r="AF497" s="335"/>
      <c r="AG497" s="336"/>
      <c r="AH497" s="334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</row>
    <row r="498" spans="1:346" s="26" customFormat="1" ht="12" hidden="1" customHeight="1" x14ac:dyDescent="0.25">
      <c r="A498" s="21"/>
      <c r="B498" s="21"/>
      <c r="C498" s="22"/>
      <c r="D498" s="353"/>
      <c r="E498" s="73"/>
      <c r="F498" s="7"/>
      <c r="G498" s="7"/>
      <c r="H498" s="7"/>
      <c r="I498" s="180"/>
      <c r="J498" s="180"/>
      <c r="K498" s="284"/>
      <c r="L498" s="193"/>
      <c r="M498" s="180"/>
      <c r="N498" s="180"/>
      <c r="O498" s="180"/>
      <c r="P498" s="180"/>
      <c r="Q498" s="180"/>
      <c r="R498" s="180"/>
      <c r="S498" s="24"/>
      <c r="T498" s="182"/>
      <c r="U498" s="24"/>
      <c r="V498" s="32"/>
      <c r="W498" s="240"/>
      <c r="X498" s="64"/>
      <c r="Y498" s="75"/>
      <c r="Z498" s="64"/>
      <c r="AA498" s="64"/>
      <c r="AB498" s="25"/>
      <c r="AC498" s="23"/>
      <c r="AD498" s="23"/>
      <c r="AE498" s="23"/>
      <c r="AF498" s="335"/>
      <c r="AG498" s="336"/>
      <c r="AH498" s="334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</row>
    <row r="499" spans="1:346" s="26" customFormat="1" ht="12" hidden="1" customHeight="1" x14ac:dyDescent="0.25">
      <c r="A499" s="21"/>
      <c r="B499" s="21"/>
      <c r="C499" s="22"/>
      <c r="D499" s="353"/>
      <c r="E499" s="73"/>
      <c r="F499" s="7"/>
      <c r="G499" s="7"/>
      <c r="H499" s="7"/>
      <c r="I499" s="180"/>
      <c r="J499" s="180"/>
      <c r="K499" s="284"/>
      <c r="L499" s="193"/>
      <c r="M499" s="180"/>
      <c r="N499" s="180"/>
      <c r="O499" s="180"/>
      <c r="P499" s="180"/>
      <c r="Q499" s="180"/>
      <c r="R499" s="180"/>
      <c r="S499" s="24"/>
      <c r="T499" s="182"/>
      <c r="U499" s="24"/>
      <c r="V499" s="32"/>
      <c r="W499" s="240"/>
      <c r="X499" s="64"/>
      <c r="Y499" s="75"/>
      <c r="Z499" s="64"/>
      <c r="AA499" s="64"/>
      <c r="AB499" s="25"/>
      <c r="AC499" s="23"/>
      <c r="AD499" s="23"/>
      <c r="AE499" s="23"/>
      <c r="AF499" s="335"/>
      <c r="AG499" s="336"/>
      <c r="AH499" s="334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</row>
    <row r="500" spans="1:346" s="26" customFormat="1" ht="12" hidden="1" customHeight="1" x14ac:dyDescent="0.25">
      <c r="A500" s="21"/>
      <c r="B500" s="21"/>
      <c r="C500" s="22"/>
      <c r="D500" s="353"/>
      <c r="E500" s="73"/>
      <c r="F500" s="7"/>
      <c r="G500" s="7"/>
      <c r="H500" s="7"/>
      <c r="I500" s="180"/>
      <c r="J500" s="180"/>
      <c r="K500" s="284"/>
      <c r="L500" s="193"/>
      <c r="M500" s="180"/>
      <c r="N500" s="180"/>
      <c r="O500" s="180"/>
      <c r="P500" s="180"/>
      <c r="Q500" s="180"/>
      <c r="R500" s="180"/>
      <c r="S500" s="24"/>
      <c r="T500" s="182"/>
      <c r="U500" s="24"/>
      <c r="V500" s="32"/>
      <c r="W500" s="240"/>
      <c r="X500" s="64"/>
      <c r="Y500" s="75"/>
      <c r="Z500" s="64"/>
      <c r="AA500" s="64"/>
      <c r="AB500" s="25"/>
      <c r="AC500" s="23"/>
      <c r="AD500" s="23"/>
      <c r="AE500" s="23"/>
      <c r="AF500" s="335"/>
      <c r="AG500" s="336"/>
      <c r="AH500" s="334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</row>
    <row r="501" spans="1:346" s="26" customFormat="1" ht="12" hidden="1" customHeight="1" x14ac:dyDescent="0.25">
      <c r="A501" s="21"/>
      <c r="B501" s="21"/>
      <c r="C501" s="22"/>
      <c r="D501" s="353"/>
      <c r="E501" s="73"/>
      <c r="F501" s="7"/>
      <c r="G501" s="7"/>
      <c r="H501" s="7"/>
      <c r="I501" s="180"/>
      <c r="J501" s="180"/>
      <c r="K501" s="284"/>
      <c r="L501" s="193"/>
      <c r="M501" s="180"/>
      <c r="N501" s="180"/>
      <c r="O501" s="180"/>
      <c r="P501" s="180"/>
      <c r="Q501" s="180"/>
      <c r="R501" s="180"/>
      <c r="S501" s="24"/>
      <c r="T501" s="182"/>
      <c r="U501" s="24"/>
      <c r="V501" s="32"/>
      <c r="W501" s="240"/>
      <c r="X501" s="64"/>
      <c r="Y501" s="75"/>
      <c r="Z501" s="64"/>
      <c r="AA501" s="64"/>
      <c r="AB501" s="25"/>
      <c r="AC501" s="23"/>
      <c r="AD501" s="23"/>
      <c r="AE501" s="23"/>
      <c r="AF501" s="335"/>
      <c r="AG501" s="336"/>
      <c r="AH501" s="334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</row>
    <row r="502" spans="1:346" s="26" customFormat="1" ht="12" hidden="1" customHeight="1" x14ac:dyDescent="0.25">
      <c r="A502" s="21"/>
      <c r="B502" s="21"/>
      <c r="C502" s="22"/>
      <c r="D502" s="353"/>
      <c r="E502" s="73"/>
      <c r="F502" s="7"/>
      <c r="G502" s="7"/>
      <c r="H502" s="7"/>
      <c r="I502" s="180"/>
      <c r="J502" s="180"/>
      <c r="K502" s="284"/>
      <c r="L502" s="193"/>
      <c r="M502" s="180"/>
      <c r="N502" s="180"/>
      <c r="O502" s="180"/>
      <c r="P502" s="180"/>
      <c r="Q502" s="180"/>
      <c r="R502" s="180"/>
      <c r="S502" s="24"/>
      <c r="T502" s="182"/>
      <c r="U502" s="24"/>
      <c r="V502" s="32"/>
      <c r="W502" s="240"/>
      <c r="X502" s="64"/>
      <c r="Y502" s="75"/>
      <c r="Z502" s="64"/>
      <c r="AA502" s="64"/>
      <c r="AB502" s="25"/>
      <c r="AC502" s="23"/>
      <c r="AD502" s="23"/>
      <c r="AE502" s="23"/>
      <c r="AF502" s="335"/>
      <c r="AG502" s="336"/>
      <c r="AH502" s="334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</row>
    <row r="503" spans="1:346" s="26" customFormat="1" ht="12" hidden="1" customHeight="1" x14ac:dyDescent="0.25">
      <c r="A503" s="21"/>
      <c r="B503" s="21"/>
      <c r="C503" s="22"/>
      <c r="D503" s="353"/>
      <c r="E503" s="73"/>
      <c r="F503" s="7"/>
      <c r="G503" s="7"/>
      <c r="H503" s="7"/>
      <c r="I503" s="180"/>
      <c r="J503" s="180"/>
      <c r="K503" s="284"/>
      <c r="L503" s="193"/>
      <c r="M503" s="180"/>
      <c r="N503" s="180"/>
      <c r="O503" s="180"/>
      <c r="P503" s="180"/>
      <c r="Q503" s="180"/>
      <c r="R503" s="180"/>
      <c r="S503" s="24"/>
      <c r="T503" s="182"/>
      <c r="U503" s="24"/>
      <c r="V503" s="32"/>
      <c r="W503" s="240"/>
      <c r="X503" s="64"/>
      <c r="Y503" s="75"/>
      <c r="Z503" s="64"/>
      <c r="AA503" s="64"/>
      <c r="AB503" s="25"/>
      <c r="AC503" s="23"/>
      <c r="AD503" s="23"/>
      <c r="AE503" s="23"/>
      <c r="AF503" s="335"/>
      <c r="AG503" s="336"/>
      <c r="AH503" s="334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</row>
    <row r="504" spans="1:346" s="26" customFormat="1" ht="12" hidden="1" customHeight="1" x14ac:dyDescent="0.25">
      <c r="A504" s="21"/>
      <c r="B504" s="21"/>
      <c r="C504" s="22"/>
      <c r="D504" s="353"/>
      <c r="E504" s="73"/>
      <c r="F504" s="7"/>
      <c r="G504" s="7"/>
      <c r="H504" s="7"/>
      <c r="I504" s="180"/>
      <c r="J504" s="180"/>
      <c r="K504" s="284"/>
      <c r="L504" s="193"/>
      <c r="M504" s="180"/>
      <c r="N504" s="180"/>
      <c r="O504" s="180"/>
      <c r="P504" s="180"/>
      <c r="Q504" s="180"/>
      <c r="R504" s="180"/>
      <c r="S504" s="24"/>
      <c r="T504" s="182"/>
      <c r="U504" s="24"/>
      <c r="V504" s="32"/>
      <c r="W504" s="240"/>
      <c r="X504" s="64"/>
      <c r="Y504" s="75"/>
      <c r="Z504" s="64"/>
      <c r="AA504" s="64"/>
      <c r="AB504" s="25"/>
      <c r="AC504" s="23"/>
      <c r="AD504" s="23"/>
      <c r="AE504" s="23"/>
      <c r="AF504" s="335"/>
      <c r="AG504" s="336"/>
      <c r="AH504" s="334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</row>
    <row r="505" spans="1:346" s="26" customFormat="1" ht="12" hidden="1" customHeight="1" x14ac:dyDescent="0.25">
      <c r="A505" s="21"/>
      <c r="B505" s="21"/>
      <c r="C505" s="22"/>
      <c r="D505" s="353"/>
      <c r="E505" s="73"/>
      <c r="F505" s="7"/>
      <c r="G505" s="7"/>
      <c r="H505" s="7"/>
      <c r="I505" s="180"/>
      <c r="J505" s="180"/>
      <c r="K505" s="284"/>
      <c r="L505" s="193"/>
      <c r="M505" s="180"/>
      <c r="N505" s="180"/>
      <c r="O505" s="180"/>
      <c r="P505" s="180"/>
      <c r="Q505" s="180"/>
      <c r="R505" s="180"/>
      <c r="S505" s="24"/>
      <c r="T505" s="182"/>
      <c r="U505" s="24"/>
      <c r="V505" s="32"/>
      <c r="W505" s="240"/>
      <c r="X505" s="64"/>
      <c r="Y505" s="75"/>
      <c r="Z505" s="64"/>
      <c r="AA505" s="64"/>
      <c r="AB505" s="25"/>
      <c r="AC505" s="23"/>
      <c r="AD505" s="23"/>
      <c r="AE505" s="23"/>
      <c r="AF505" s="335"/>
      <c r="AG505" s="336"/>
      <c r="AH505" s="334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</row>
    <row r="506" spans="1:346" s="26" customFormat="1" ht="12" hidden="1" customHeight="1" x14ac:dyDescent="0.25">
      <c r="A506" s="21"/>
      <c r="B506" s="21"/>
      <c r="C506" s="22"/>
      <c r="D506" s="353"/>
      <c r="E506" s="73"/>
      <c r="F506" s="7"/>
      <c r="G506" s="7"/>
      <c r="H506" s="7"/>
      <c r="I506" s="180"/>
      <c r="J506" s="180"/>
      <c r="K506" s="284"/>
      <c r="L506" s="193"/>
      <c r="M506" s="180"/>
      <c r="N506" s="180"/>
      <c r="O506" s="180"/>
      <c r="P506" s="180"/>
      <c r="Q506" s="180"/>
      <c r="R506" s="180"/>
      <c r="S506" s="24"/>
      <c r="T506" s="182"/>
      <c r="U506" s="24"/>
      <c r="V506" s="32"/>
      <c r="W506" s="240"/>
      <c r="X506" s="64"/>
      <c r="Y506" s="75"/>
      <c r="Z506" s="64"/>
      <c r="AA506" s="64"/>
      <c r="AB506" s="25"/>
      <c r="AC506" s="23"/>
      <c r="AD506" s="23"/>
      <c r="AE506" s="23"/>
      <c r="AF506" s="335"/>
      <c r="AG506" s="336"/>
      <c r="AH506" s="334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</row>
    <row r="507" spans="1:346" s="26" customFormat="1" ht="12" hidden="1" customHeight="1" x14ac:dyDescent="0.25">
      <c r="A507" s="21"/>
      <c r="B507" s="21"/>
      <c r="C507" s="22"/>
      <c r="D507" s="353"/>
      <c r="E507" s="73"/>
      <c r="F507" s="7"/>
      <c r="G507" s="7"/>
      <c r="H507" s="7"/>
      <c r="I507" s="180"/>
      <c r="J507" s="180"/>
      <c r="K507" s="284"/>
      <c r="L507" s="193"/>
      <c r="M507" s="180"/>
      <c r="N507" s="180"/>
      <c r="O507" s="180"/>
      <c r="P507" s="180"/>
      <c r="Q507" s="180"/>
      <c r="R507" s="180"/>
      <c r="S507" s="24"/>
      <c r="T507" s="182"/>
      <c r="U507" s="24"/>
      <c r="V507" s="32"/>
      <c r="W507" s="240"/>
      <c r="X507" s="64"/>
      <c r="Y507" s="75"/>
      <c r="Z507" s="64"/>
      <c r="AA507" s="64"/>
      <c r="AB507" s="25"/>
      <c r="AC507" s="23"/>
      <c r="AD507" s="23"/>
      <c r="AE507" s="23"/>
      <c r="AF507" s="335"/>
      <c r="AG507" s="336"/>
      <c r="AH507" s="334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</row>
    <row r="508" spans="1:346" s="26" customFormat="1" ht="12" hidden="1" customHeight="1" x14ac:dyDescent="0.25">
      <c r="A508" s="21"/>
      <c r="B508" s="21"/>
      <c r="C508" s="22"/>
      <c r="D508" s="353"/>
      <c r="E508" s="73"/>
      <c r="F508" s="7"/>
      <c r="G508" s="7"/>
      <c r="H508" s="7"/>
      <c r="I508" s="180"/>
      <c r="J508" s="180"/>
      <c r="K508" s="284"/>
      <c r="L508" s="193"/>
      <c r="M508" s="180"/>
      <c r="N508" s="180"/>
      <c r="O508" s="180"/>
      <c r="P508" s="180"/>
      <c r="Q508" s="180"/>
      <c r="R508" s="180"/>
      <c r="S508" s="24"/>
      <c r="T508" s="182"/>
      <c r="U508" s="24"/>
      <c r="V508" s="32"/>
      <c r="W508" s="240"/>
      <c r="X508" s="64"/>
      <c r="Y508" s="75"/>
      <c r="Z508" s="64"/>
      <c r="AA508" s="64"/>
      <c r="AB508" s="25"/>
      <c r="AC508" s="23"/>
      <c r="AD508" s="23"/>
      <c r="AE508" s="23"/>
      <c r="AF508" s="335"/>
      <c r="AG508" s="336"/>
      <c r="AH508" s="334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</row>
    <row r="509" spans="1:346" s="26" customFormat="1" ht="12" hidden="1" customHeight="1" x14ac:dyDescent="0.25">
      <c r="A509" s="21"/>
      <c r="B509" s="21"/>
      <c r="C509" s="22"/>
      <c r="D509" s="353"/>
      <c r="E509" s="73"/>
      <c r="F509" s="7"/>
      <c r="G509" s="7"/>
      <c r="H509" s="7"/>
      <c r="I509" s="180"/>
      <c r="J509" s="180"/>
      <c r="K509" s="284"/>
      <c r="L509" s="193"/>
      <c r="M509" s="180"/>
      <c r="N509" s="180"/>
      <c r="O509" s="180"/>
      <c r="P509" s="180"/>
      <c r="Q509" s="180"/>
      <c r="R509" s="180"/>
      <c r="S509" s="24"/>
      <c r="T509" s="182"/>
      <c r="U509" s="24"/>
      <c r="V509" s="32"/>
      <c r="W509" s="240"/>
      <c r="X509" s="64"/>
      <c r="Y509" s="75"/>
      <c r="Z509" s="64"/>
      <c r="AA509" s="64"/>
      <c r="AB509" s="25"/>
      <c r="AC509" s="23"/>
      <c r="AD509" s="23"/>
      <c r="AE509" s="23"/>
      <c r="AF509" s="335"/>
      <c r="AG509" s="336"/>
      <c r="AH509" s="334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</row>
    <row r="510" spans="1:346" s="26" customFormat="1" ht="12" hidden="1" customHeight="1" x14ac:dyDescent="0.25">
      <c r="A510" s="21"/>
      <c r="B510" s="21"/>
      <c r="C510" s="22"/>
      <c r="D510" s="353"/>
      <c r="E510" s="73"/>
      <c r="F510" s="7"/>
      <c r="G510" s="7"/>
      <c r="H510" s="7"/>
      <c r="I510" s="180"/>
      <c r="J510" s="180"/>
      <c r="K510" s="284"/>
      <c r="L510" s="193"/>
      <c r="M510" s="180"/>
      <c r="N510" s="180"/>
      <c r="O510" s="180"/>
      <c r="P510" s="180"/>
      <c r="Q510" s="180"/>
      <c r="R510" s="180"/>
      <c r="S510" s="24"/>
      <c r="T510" s="182"/>
      <c r="U510" s="24"/>
      <c r="V510" s="32"/>
      <c r="W510" s="240"/>
      <c r="X510" s="64"/>
      <c r="Y510" s="75"/>
      <c r="Z510" s="64"/>
      <c r="AA510" s="64"/>
      <c r="AB510" s="25"/>
      <c r="AC510" s="23"/>
      <c r="AD510" s="23"/>
      <c r="AE510" s="23"/>
      <c r="AF510" s="335"/>
      <c r="AG510" s="336"/>
      <c r="AH510" s="334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</row>
    <row r="511" spans="1:346" s="26" customFormat="1" ht="12" hidden="1" customHeight="1" x14ac:dyDescent="0.25">
      <c r="A511" s="21"/>
      <c r="B511" s="21"/>
      <c r="C511" s="22"/>
      <c r="D511" s="353"/>
      <c r="E511" s="73"/>
      <c r="F511" s="7"/>
      <c r="G511" s="7"/>
      <c r="H511" s="7"/>
      <c r="I511" s="180"/>
      <c r="J511" s="180"/>
      <c r="K511" s="284"/>
      <c r="L511" s="193"/>
      <c r="M511" s="180"/>
      <c r="N511" s="180"/>
      <c r="O511" s="180"/>
      <c r="P511" s="180"/>
      <c r="Q511" s="180"/>
      <c r="R511" s="180"/>
      <c r="S511" s="24"/>
      <c r="T511" s="182"/>
      <c r="U511" s="24"/>
      <c r="V511" s="32"/>
      <c r="W511" s="240"/>
      <c r="X511" s="64"/>
      <c r="Y511" s="75"/>
      <c r="Z511" s="64"/>
      <c r="AA511" s="64"/>
      <c r="AB511" s="25"/>
      <c r="AC511" s="23"/>
      <c r="AD511" s="23"/>
      <c r="AE511" s="23"/>
      <c r="AF511" s="335"/>
      <c r="AG511" s="336"/>
      <c r="AH511" s="334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</row>
    <row r="512" spans="1:346" s="26" customFormat="1" ht="12" hidden="1" customHeight="1" x14ac:dyDescent="0.25">
      <c r="A512" s="21"/>
      <c r="B512" s="21"/>
      <c r="C512" s="22"/>
      <c r="D512" s="353"/>
      <c r="E512" s="73"/>
      <c r="F512" s="7"/>
      <c r="G512" s="7"/>
      <c r="H512" s="7"/>
      <c r="I512" s="180"/>
      <c r="J512" s="180"/>
      <c r="K512" s="284"/>
      <c r="L512" s="193"/>
      <c r="M512" s="180"/>
      <c r="N512" s="180"/>
      <c r="O512" s="180"/>
      <c r="P512" s="180"/>
      <c r="Q512" s="180"/>
      <c r="R512" s="180"/>
      <c r="S512" s="24"/>
      <c r="T512" s="182"/>
      <c r="U512" s="24"/>
      <c r="V512" s="32"/>
      <c r="W512" s="240"/>
      <c r="X512" s="64"/>
      <c r="Y512" s="75"/>
      <c r="Z512" s="64"/>
      <c r="AA512" s="64"/>
      <c r="AB512" s="25"/>
      <c r="AC512" s="23"/>
      <c r="AD512" s="23"/>
      <c r="AE512" s="23"/>
      <c r="AF512" s="335"/>
      <c r="AG512" s="336"/>
      <c r="AH512" s="334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</row>
    <row r="513" spans="1:346" s="26" customFormat="1" ht="12" hidden="1" customHeight="1" x14ac:dyDescent="0.25">
      <c r="A513" s="21"/>
      <c r="B513" s="21"/>
      <c r="C513" s="22"/>
      <c r="D513" s="353"/>
      <c r="E513" s="73"/>
      <c r="F513" s="7"/>
      <c r="G513" s="7"/>
      <c r="H513" s="7"/>
      <c r="I513" s="180"/>
      <c r="J513" s="180"/>
      <c r="K513" s="284"/>
      <c r="L513" s="193"/>
      <c r="M513" s="180"/>
      <c r="N513" s="180"/>
      <c r="O513" s="180"/>
      <c r="P513" s="180"/>
      <c r="Q513" s="180"/>
      <c r="R513" s="180"/>
      <c r="S513" s="24"/>
      <c r="T513" s="182"/>
      <c r="U513" s="24"/>
      <c r="V513" s="32"/>
      <c r="W513" s="240"/>
      <c r="X513" s="64"/>
      <c r="Y513" s="75"/>
      <c r="Z513" s="64"/>
      <c r="AA513" s="64"/>
      <c r="AB513" s="25"/>
      <c r="AC513" s="23"/>
      <c r="AD513" s="23"/>
      <c r="AE513" s="23"/>
      <c r="AF513" s="335"/>
      <c r="AG513" s="336"/>
      <c r="AH513" s="334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</row>
    <row r="514" spans="1:346" s="26" customFormat="1" ht="12" hidden="1" customHeight="1" x14ac:dyDescent="0.25">
      <c r="A514" s="21"/>
      <c r="B514" s="21"/>
      <c r="C514" s="22"/>
      <c r="D514" s="353"/>
      <c r="E514" s="73"/>
      <c r="F514" s="7"/>
      <c r="G514" s="7"/>
      <c r="H514" s="7"/>
      <c r="I514" s="180"/>
      <c r="J514" s="180"/>
      <c r="K514" s="284"/>
      <c r="L514" s="193"/>
      <c r="M514" s="180"/>
      <c r="N514" s="180"/>
      <c r="O514" s="180"/>
      <c r="P514" s="180"/>
      <c r="Q514" s="180"/>
      <c r="R514" s="180"/>
      <c r="S514" s="24"/>
      <c r="T514" s="182"/>
      <c r="U514" s="24"/>
      <c r="V514" s="32"/>
      <c r="W514" s="240"/>
      <c r="X514" s="64"/>
      <c r="Y514" s="75"/>
      <c r="Z514" s="64"/>
      <c r="AA514" s="64"/>
      <c r="AB514" s="25"/>
      <c r="AC514" s="23"/>
      <c r="AD514" s="23"/>
      <c r="AE514" s="23"/>
      <c r="AF514" s="335"/>
      <c r="AG514" s="336"/>
      <c r="AH514" s="334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</row>
    <row r="515" spans="1:346" s="26" customFormat="1" ht="12" hidden="1" customHeight="1" x14ac:dyDescent="0.25">
      <c r="A515" s="21"/>
      <c r="B515" s="21"/>
      <c r="C515" s="22"/>
      <c r="D515" s="353"/>
      <c r="E515" s="73"/>
      <c r="F515" s="7"/>
      <c r="G515" s="7"/>
      <c r="H515" s="7"/>
      <c r="I515" s="180"/>
      <c r="J515" s="180"/>
      <c r="K515" s="284"/>
      <c r="L515" s="193"/>
      <c r="M515" s="180"/>
      <c r="N515" s="180"/>
      <c r="O515" s="180"/>
      <c r="P515" s="180"/>
      <c r="Q515" s="180"/>
      <c r="R515" s="180"/>
      <c r="S515" s="24"/>
      <c r="T515" s="182"/>
      <c r="U515" s="24"/>
      <c r="V515" s="32"/>
      <c r="W515" s="240"/>
      <c r="X515" s="64"/>
      <c r="Y515" s="75"/>
      <c r="Z515" s="64"/>
      <c r="AA515" s="64"/>
      <c r="AB515" s="25"/>
      <c r="AC515" s="23"/>
      <c r="AD515" s="23"/>
      <c r="AE515" s="23"/>
      <c r="AF515" s="335"/>
      <c r="AG515" s="336"/>
      <c r="AH515" s="334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</row>
    <row r="516" spans="1:346" s="26" customFormat="1" ht="12" hidden="1" customHeight="1" x14ac:dyDescent="0.25">
      <c r="A516" s="21"/>
      <c r="B516" s="21"/>
      <c r="C516" s="22"/>
      <c r="D516" s="353"/>
      <c r="E516" s="73"/>
      <c r="F516" s="7"/>
      <c r="G516" s="7"/>
      <c r="H516" s="7"/>
      <c r="I516" s="180"/>
      <c r="J516" s="180"/>
      <c r="K516" s="284"/>
      <c r="L516" s="193"/>
      <c r="M516" s="180"/>
      <c r="N516" s="180"/>
      <c r="O516" s="180"/>
      <c r="P516" s="180"/>
      <c r="Q516" s="180"/>
      <c r="R516" s="180"/>
      <c r="S516" s="24"/>
      <c r="T516" s="182"/>
      <c r="U516" s="24"/>
      <c r="V516" s="32"/>
      <c r="W516" s="240"/>
      <c r="X516" s="64"/>
      <c r="Y516" s="75"/>
      <c r="Z516" s="64"/>
      <c r="AA516" s="64"/>
      <c r="AB516" s="25"/>
      <c r="AC516" s="23"/>
      <c r="AD516" s="23"/>
      <c r="AE516" s="23"/>
      <c r="AF516" s="335"/>
      <c r="AG516" s="336"/>
      <c r="AH516" s="334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</row>
    <row r="517" spans="1:346" s="26" customFormat="1" ht="12" hidden="1" customHeight="1" x14ac:dyDescent="0.25">
      <c r="A517" s="21"/>
      <c r="B517" s="21"/>
      <c r="C517" s="22"/>
      <c r="D517" s="353"/>
      <c r="E517" s="73"/>
      <c r="F517" s="7"/>
      <c r="G517" s="7"/>
      <c r="H517" s="7"/>
      <c r="I517" s="180"/>
      <c r="J517" s="180"/>
      <c r="K517" s="284"/>
      <c r="L517" s="193"/>
      <c r="M517" s="180"/>
      <c r="N517" s="180"/>
      <c r="O517" s="180"/>
      <c r="P517" s="180"/>
      <c r="Q517" s="180"/>
      <c r="R517" s="180"/>
      <c r="S517" s="24"/>
      <c r="T517" s="182"/>
      <c r="U517" s="24"/>
      <c r="V517" s="32"/>
      <c r="W517" s="240"/>
      <c r="X517" s="64"/>
      <c r="Y517" s="75"/>
      <c r="Z517" s="64"/>
      <c r="AA517" s="64"/>
      <c r="AB517" s="25"/>
      <c r="AC517" s="23"/>
      <c r="AD517" s="23"/>
      <c r="AE517" s="23"/>
      <c r="AF517" s="335"/>
      <c r="AG517" s="336"/>
      <c r="AH517" s="334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</row>
    <row r="518" spans="1:346" s="26" customFormat="1" ht="12" hidden="1" customHeight="1" x14ac:dyDescent="0.25">
      <c r="A518" s="21"/>
      <c r="B518" s="21"/>
      <c r="C518" s="22"/>
      <c r="D518" s="353"/>
      <c r="E518" s="73"/>
      <c r="F518" s="7"/>
      <c r="G518" s="7"/>
      <c r="H518" s="7"/>
      <c r="I518" s="180"/>
      <c r="J518" s="180"/>
      <c r="K518" s="284"/>
      <c r="L518" s="193"/>
      <c r="M518" s="180"/>
      <c r="N518" s="180"/>
      <c r="O518" s="180"/>
      <c r="P518" s="180"/>
      <c r="Q518" s="180"/>
      <c r="R518" s="180"/>
      <c r="S518" s="24"/>
      <c r="T518" s="182"/>
      <c r="U518" s="24"/>
      <c r="V518" s="32"/>
      <c r="W518" s="240"/>
      <c r="X518" s="64"/>
      <c r="Y518" s="75"/>
      <c r="Z518" s="64"/>
      <c r="AA518" s="64"/>
      <c r="AB518" s="25"/>
      <c r="AC518" s="23"/>
      <c r="AD518" s="23"/>
      <c r="AE518" s="23"/>
      <c r="AF518" s="335"/>
      <c r="AG518" s="336"/>
      <c r="AH518" s="334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</row>
    <row r="519" spans="1:346" s="26" customFormat="1" ht="12" hidden="1" customHeight="1" x14ac:dyDescent="0.25">
      <c r="A519" s="21"/>
      <c r="B519" s="21"/>
      <c r="C519" s="22"/>
      <c r="D519" s="353"/>
      <c r="E519" s="73"/>
      <c r="F519" s="7"/>
      <c r="G519" s="7"/>
      <c r="H519" s="7"/>
      <c r="I519" s="180"/>
      <c r="J519" s="180"/>
      <c r="K519" s="284"/>
      <c r="L519" s="193"/>
      <c r="M519" s="180"/>
      <c r="N519" s="180"/>
      <c r="O519" s="180"/>
      <c r="P519" s="180"/>
      <c r="Q519" s="180"/>
      <c r="R519" s="180"/>
      <c r="S519" s="24"/>
      <c r="T519" s="182"/>
      <c r="U519" s="24"/>
      <c r="V519" s="32"/>
      <c r="W519" s="240"/>
      <c r="X519" s="64"/>
      <c r="Y519" s="75"/>
      <c r="Z519" s="64"/>
      <c r="AA519" s="64"/>
      <c r="AB519" s="25"/>
      <c r="AC519" s="23"/>
      <c r="AD519" s="23"/>
      <c r="AE519" s="23"/>
      <c r="AF519" s="335"/>
      <c r="AG519" s="336"/>
      <c r="AH519" s="334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</row>
    <row r="520" spans="1:346" s="26" customFormat="1" ht="12" hidden="1" customHeight="1" x14ac:dyDescent="0.25">
      <c r="A520" s="21"/>
      <c r="B520" s="21"/>
      <c r="C520" s="22"/>
      <c r="D520" s="353"/>
      <c r="E520" s="73"/>
      <c r="F520" s="7"/>
      <c r="G520" s="7"/>
      <c r="H520" s="7"/>
      <c r="I520" s="180"/>
      <c r="J520" s="180"/>
      <c r="K520" s="284"/>
      <c r="L520" s="193"/>
      <c r="M520" s="180"/>
      <c r="N520" s="180"/>
      <c r="O520" s="180"/>
      <c r="P520" s="180"/>
      <c r="Q520" s="180"/>
      <c r="R520" s="180"/>
      <c r="S520" s="24"/>
      <c r="T520" s="182"/>
      <c r="U520" s="24"/>
      <c r="V520" s="32"/>
      <c r="W520" s="240"/>
      <c r="X520" s="64"/>
      <c r="Y520" s="75"/>
      <c r="Z520" s="64"/>
      <c r="AA520" s="64"/>
      <c r="AB520" s="25"/>
      <c r="AC520" s="23"/>
      <c r="AD520" s="23"/>
      <c r="AE520" s="23"/>
      <c r="AF520" s="335"/>
      <c r="AG520" s="336"/>
      <c r="AH520" s="334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</row>
    <row r="521" spans="1:346" s="26" customFormat="1" ht="12" hidden="1" customHeight="1" x14ac:dyDescent="0.25">
      <c r="A521" s="21"/>
      <c r="B521" s="21"/>
      <c r="C521" s="22"/>
      <c r="D521" s="353"/>
      <c r="E521" s="73"/>
      <c r="F521" s="7"/>
      <c r="G521" s="7"/>
      <c r="H521" s="7"/>
      <c r="I521" s="180"/>
      <c r="J521" s="180"/>
      <c r="K521" s="284"/>
      <c r="L521" s="193"/>
      <c r="M521" s="180"/>
      <c r="N521" s="180"/>
      <c r="O521" s="180"/>
      <c r="P521" s="180"/>
      <c r="Q521" s="180"/>
      <c r="R521" s="180"/>
      <c r="S521" s="24"/>
      <c r="T521" s="182"/>
      <c r="U521" s="24"/>
      <c r="V521" s="32"/>
      <c r="W521" s="240"/>
      <c r="X521" s="64"/>
      <c r="Y521" s="75"/>
      <c r="Z521" s="64"/>
      <c r="AA521" s="64"/>
      <c r="AB521" s="25"/>
      <c r="AC521" s="23"/>
      <c r="AD521" s="23"/>
      <c r="AE521" s="23"/>
      <c r="AF521" s="335"/>
      <c r="AG521" s="336"/>
      <c r="AH521" s="334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</row>
    <row r="522" spans="1:346" s="26" customFormat="1" ht="12" hidden="1" customHeight="1" x14ac:dyDescent="0.25">
      <c r="A522" s="21"/>
      <c r="B522" s="21"/>
      <c r="C522" s="22"/>
      <c r="D522" s="353"/>
      <c r="E522" s="73"/>
      <c r="F522" s="7"/>
      <c r="G522" s="7"/>
      <c r="H522" s="7"/>
      <c r="I522" s="180"/>
      <c r="J522" s="180"/>
      <c r="K522" s="284"/>
      <c r="L522" s="193"/>
      <c r="M522" s="180"/>
      <c r="N522" s="180"/>
      <c r="O522" s="180"/>
      <c r="P522" s="180"/>
      <c r="Q522" s="180"/>
      <c r="R522" s="180"/>
      <c r="S522" s="24"/>
      <c r="T522" s="182"/>
      <c r="U522" s="24"/>
      <c r="V522" s="32"/>
      <c r="W522" s="240"/>
      <c r="X522" s="64"/>
      <c r="Y522" s="75"/>
      <c r="Z522" s="64"/>
      <c r="AA522" s="64"/>
      <c r="AB522" s="25"/>
      <c r="AC522" s="23"/>
      <c r="AD522" s="23"/>
      <c r="AE522" s="23"/>
      <c r="AF522" s="335"/>
      <c r="AG522" s="336"/>
      <c r="AH522" s="334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</row>
    <row r="523" spans="1:346" s="26" customFormat="1" ht="12" hidden="1" customHeight="1" x14ac:dyDescent="0.25">
      <c r="A523" s="21"/>
      <c r="B523" s="21"/>
      <c r="C523" s="22"/>
      <c r="D523" s="353"/>
      <c r="E523" s="73"/>
      <c r="F523" s="7"/>
      <c r="G523" s="7"/>
      <c r="H523" s="7"/>
      <c r="I523" s="180"/>
      <c r="J523" s="180"/>
      <c r="K523" s="284"/>
      <c r="L523" s="193"/>
      <c r="M523" s="180"/>
      <c r="N523" s="180"/>
      <c r="O523" s="180"/>
      <c r="P523" s="180"/>
      <c r="Q523" s="180"/>
      <c r="R523" s="180"/>
      <c r="S523" s="24"/>
      <c r="T523" s="182"/>
      <c r="U523" s="24"/>
      <c r="V523" s="32"/>
      <c r="W523" s="240"/>
      <c r="X523" s="64"/>
      <c r="Y523" s="75"/>
      <c r="Z523" s="64"/>
      <c r="AA523" s="64"/>
      <c r="AB523" s="25"/>
      <c r="AC523" s="23"/>
      <c r="AD523" s="23"/>
      <c r="AE523" s="23"/>
      <c r="AF523" s="335"/>
      <c r="AG523" s="336"/>
      <c r="AH523" s="334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</row>
    <row r="524" spans="1:346" s="26" customFormat="1" ht="12" hidden="1" customHeight="1" x14ac:dyDescent="0.25">
      <c r="A524" s="21"/>
      <c r="B524" s="21"/>
      <c r="C524" s="22"/>
      <c r="D524" s="353"/>
      <c r="E524" s="73"/>
      <c r="F524" s="7"/>
      <c r="G524" s="7"/>
      <c r="H524" s="7"/>
      <c r="I524" s="180"/>
      <c r="J524" s="180"/>
      <c r="K524" s="284"/>
      <c r="L524" s="193"/>
      <c r="M524" s="180"/>
      <c r="N524" s="180"/>
      <c r="O524" s="180"/>
      <c r="P524" s="180"/>
      <c r="Q524" s="180"/>
      <c r="R524" s="180"/>
      <c r="S524" s="24"/>
      <c r="T524" s="182"/>
      <c r="U524" s="24"/>
      <c r="V524" s="32"/>
      <c r="W524" s="240"/>
      <c r="X524" s="64"/>
      <c r="Y524" s="75"/>
      <c r="Z524" s="64"/>
      <c r="AA524" s="64"/>
      <c r="AB524" s="25"/>
      <c r="AC524" s="23"/>
      <c r="AD524" s="23"/>
      <c r="AE524" s="23"/>
      <c r="AF524" s="335"/>
      <c r="AG524" s="336"/>
      <c r="AH524" s="334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</row>
    <row r="525" spans="1:346" s="26" customFormat="1" ht="12" hidden="1" customHeight="1" x14ac:dyDescent="0.25">
      <c r="A525" s="21"/>
      <c r="B525" s="21"/>
      <c r="C525" s="22"/>
      <c r="D525" s="353"/>
      <c r="E525" s="73"/>
      <c r="F525" s="7"/>
      <c r="G525" s="7"/>
      <c r="H525" s="7"/>
      <c r="I525" s="180"/>
      <c r="J525" s="180"/>
      <c r="K525" s="284"/>
      <c r="L525" s="193"/>
      <c r="M525" s="180"/>
      <c r="N525" s="180"/>
      <c r="O525" s="180"/>
      <c r="P525" s="180"/>
      <c r="Q525" s="180"/>
      <c r="R525" s="180"/>
      <c r="S525" s="24"/>
      <c r="T525" s="182"/>
      <c r="U525" s="24"/>
      <c r="V525" s="32"/>
      <c r="W525" s="240"/>
      <c r="X525" s="64"/>
      <c r="Y525" s="75"/>
      <c r="Z525" s="64"/>
      <c r="AA525" s="64"/>
      <c r="AB525" s="25"/>
      <c r="AC525" s="23"/>
      <c r="AD525" s="23"/>
      <c r="AE525" s="23"/>
      <c r="AF525" s="335"/>
      <c r="AG525" s="336"/>
      <c r="AH525" s="334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</row>
    <row r="526" spans="1:346" s="26" customFormat="1" ht="12" hidden="1" customHeight="1" x14ac:dyDescent="0.25">
      <c r="A526" s="21"/>
      <c r="B526" s="21"/>
      <c r="C526" s="22"/>
      <c r="D526" s="353"/>
      <c r="E526" s="73"/>
      <c r="F526" s="7"/>
      <c r="G526" s="7"/>
      <c r="H526" s="7"/>
      <c r="I526" s="180"/>
      <c r="J526" s="180"/>
      <c r="K526" s="284"/>
      <c r="L526" s="193"/>
      <c r="M526" s="180"/>
      <c r="N526" s="180"/>
      <c r="O526" s="180"/>
      <c r="P526" s="180"/>
      <c r="Q526" s="180"/>
      <c r="R526" s="180"/>
      <c r="S526" s="24"/>
      <c r="T526" s="182"/>
      <c r="U526" s="24"/>
      <c r="V526" s="32"/>
      <c r="W526" s="240"/>
      <c r="X526" s="64"/>
      <c r="Y526" s="75"/>
      <c r="Z526" s="64"/>
      <c r="AA526" s="64"/>
      <c r="AB526" s="25"/>
      <c r="AC526" s="23"/>
      <c r="AD526" s="23"/>
      <c r="AE526" s="23"/>
      <c r="AF526" s="335"/>
      <c r="AG526" s="336"/>
      <c r="AH526" s="334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</row>
    <row r="527" spans="1:346" s="26" customFormat="1" ht="12" hidden="1" customHeight="1" x14ac:dyDescent="0.25">
      <c r="A527" s="21"/>
      <c r="B527" s="21"/>
      <c r="C527" s="22"/>
      <c r="D527" s="353"/>
      <c r="E527" s="73"/>
      <c r="F527" s="7"/>
      <c r="G527" s="7"/>
      <c r="H527" s="7"/>
      <c r="I527" s="180"/>
      <c r="J527" s="180"/>
      <c r="K527" s="284"/>
      <c r="L527" s="193"/>
      <c r="M527" s="180"/>
      <c r="N527" s="180"/>
      <c r="O527" s="180"/>
      <c r="P527" s="180"/>
      <c r="Q527" s="180"/>
      <c r="R527" s="180"/>
      <c r="S527" s="24"/>
      <c r="T527" s="182"/>
      <c r="U527" s="24"/>
      <c r="V527" s="32"/>
      <c r="W527" s="240"/>
      <c r="X527" s="64"/>
      <c r="Y527" s="75"/>
      <c r="Z527" s="64"/>
      <c r="AA527" s="64"/>
      <c r="AB527" s="25"/>
      <c r="AC527" s="23"/>
      <c r="AD527" s="23"/>
      <c r="AE527" s="23"/>
      <c r="AF527" s="335"/>
      <c r="AG527" s="336"/>
      <c r="AH527" s="334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</row>
    <row r="528" spans="1:346" s="26" customFormat="1" ht="12" hidden="1" customHeight="1" x14ac:dyDescent="0.25">
      <c r="A528" s="21"/>
      <c r="B528" s="21"/>
      <c r="C528" s="22"/>
      <c r="D528" s="353"/>
      <c r="E528" s="73"/>
      <c r="F528" s="7"/>
      <c r="G528" s="7"/>
      <c r="H528" s="7"/>
      <c r="I528" s="180"/>
      <c r="J528" s="180"/>
      <c r="K528" s="284"/>
      <c r="L528" s="193"/>
      <c r="M528" s="180"/>
      <c r="N528" s="180"/>
      <c r="O528" s="180"/>
      <c r="P528" s="180"/>
      <c r="Q528" s="180"/>
      <c r="R528" s="180"/>
      <c r="S528" s="24"/>
      <c r="T528" s="182"/>
      <c r="U528" s="24"/>
      <c r="V528" s="32"/>
      <c r="W528" s="240"/>
      <c r="X528" s="64"/>
      <c r="Y528" s="75"/>
      <c r="Z528" s="64"/>
      <c r="AA528" s="64"/>
      <c r="AB528" s="25"/>
      <c r="AC528" s="23"/>
      <c r="AD528" s="23"/>
      <c r="AE528" s="23"/>
      <c r="AF528" s="335"/>
      <c r="AG528" s="336"/>
      <c r="AH528" s="334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</row>
    <row r="529" spans="1:346" s="26" customFormat="1" ht="12" hidden="1" customHeight="1" x14ac:dyDescent="0.25">
      <c r="A529" s="21"/>
      <c r="B529" s="21"/>
      <c r="C529" s="22"/>
      <c r="D529" s="353"/>
      <c r="E529" s="73"/>
      <c r="F529" s="7"/>
      <c r="G529" s="7"/>
      <c r="H529" s="7"/>
      <c r="I529" s="180"/>
      <c r="J529" s="180"/>
      <c r="K529" s="284"/>
      <c r="L529" s="193"/>
      <c r="M529" s="180"/>
      <c r="N529" s="180"/>
      <c r="O529" s="180"/>
      <c r="P529" s="180"/>
      <c r="Q529" s="180"/>
      <c r="R529" s="180"/>
      <c r="S529" s="24"/>
      <c r="T529" s="182"/>
      <c r="U529" s="24"/>
      <c r="V529" s="32"/>
      <c r="W529" s="240"/>
      <c r="X529" s="64"/>
      <c r="Y529" s="75"/>
      <c r="Z529" s="64"/>
      <c r="AA529" s="64"/>
      <c r="AB529" s="25"/>
      <c r="AC529" s="23"/>
      <c r="AD529" s="23"/>
      <c r="AE529" s="23"/>
      <c r="AF529" s="335"/>
      <c r="AG529" s="336"/>
      <c r="AH529" s="334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</row>
    <row r="530" spans="1:346" s="26" customFormat="1" ht="12" hidden="1" customHeight="1" x14ac:dyDescent="0.25">
      <c r="A530" s="21"/>
      <c r="B530" s="21"/>
      <c r="C530" s="22"/>
      <c r="D530" s="353"/>
      <c r="E530" s="73"/>
      <c r="F530" s="7"/>
      <c r="G530" s="7"/>
      <c r="H530" s="7"/>
      <c r="I530" s="180"/>
      <c r="J530" s="180"/>
      <c r="K530" s="284"/>
      <c r="L530" s="193"/>
      <c r="M530" s="180"/>
      <c r="N530" s="180"/>
      <c r="O530" s="180"/>
      <c r="P530" s="180"/>
      <c r="Q530" s="180"/>
      <c r="R530" s="180"/>
      <c r="S530" s="24"/>
      <c r="T530" s="182"/>
      <c r="U530" s="24"/>
      <c r="V530" s="32"/>
      <c r="W530" s="240"/>
      <c r="X530" s="64"/>
      <c r="Y530" s="75"/>
      <c r="Z530" s="64"/>
      <c r="AA530" s="64"/>
      <c r="AB530" s="25"/>
      <c r="AC530" s="23"/>
      <c r="AD530" s="23"/>
      <c r="AE530" s="23"/>
      <c r="AF530" s="335"/>
      <c r="AG530" s="336"/>
      <c r="AH530" s="334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</row>
    <row r="531" spans="1:346" s="26" customFormat="1" ht="12" hidden="1" customHeight="1" x14ac:dyDescent="0.25">
      <c r="A531" s="21"/>
      <c r="B531" s="21"/>
      <c r="C531" s="22"/>
      <c r="D531" s="353"/>
      <c r="E531" s="73"/>
      <c r="F531" s="7"/>
      <c r="G531" s="7"/>
      <c r="H531" s="7"/>
      <c r="I531" s="180"/>
      <c r="J531" s="180"/>
      <c r="K531" s="284"/>
      <c r="L531" s="193"/>
      <c r="M531" s="180"/>
      <c r="N531" s="180"/>
      <c r="O531" s="180"/>
      <c r="P531" s="180"/>
      <c r="Q531" s="180"/>
      <c r="R531" s="180"/>
      <c r="S531" s="24"/>
      <c r="T531" s="182"/>
      <c r="U531" s="24"/>
      <c r="V531" s="32"/>
      <c r="W531" s="240"/>
      <c r="X531" s="64"/>
      <c r="Y531" s="75"/>
      <c r="Z531" s="64"/>
      <c r="AA531" s="64"/>
      <c r="AB531" s="25"/>
      <c r="AC531" s="23"/>
      <c r="AD531" s="23"/>
      <c r="AE531" s="23"/>
      <c r="AF531" s="335"/>
      <c r="AG531" s="336"/>
      <c r="AH531" s="334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</row>
    <row r="532" spans="1:346" s="26" customFormat="1" ht="12" hidden="1" customHeight="1" x14ac:dyDescent="0.25">
      <c r="A532" s="21"/>
      <c r="B532" s="21"/>
      <c r="C532" s="22"/>
      <c r="D532" s="353"/>
      <c r="E532" s="73"/>
      <c r="F532" s="7"/>
      <c r="G532" s="7"/>
      <c r="H532" s="7"/>
      <c r="I532" s="180"/>
      <c r="J532" s="180"/>
      <c r="K532" s="284"/>
      <c r="L532" s="193"/>
      <c r="M532" s="180"/>
      <c r="N532" s="180"/>
      <c r="O532" s="180"/>
      <c r="P532" s="180"/>
      <c r="Q532" s="180"/>
      <c r="R532" s="180"/>
      <c r="S532" s="24"/>
      <c r="T532" s="182"/>
      <c r="U532" s="24"/>
      <c r="V532" s="32"/>
      <c r="W532" s="240"/>
      <c r="X532" s="64"/>
      <c r="Y532" s="75"/>
      <c r="Z532" s="64"/>
      <c r="AA532" s="64"/>
      <c r="AB532" s="25"/>
      <c r="AC532" s="23"/>
      <c r="AD532" s="23"/>
      <c r="AE532" s="23"/>
      <c r="AF532" s="335"/>
      <c r="AG532" s="336"/>
      <c r="AH532" s="334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</row>
    <row r="533" spans="1:346" s="26" customFormat="1" ht="12" hidden="1" customHeight="1" x14ac:dyDescent="0.25">
      <c r="A533" s="21"/>
      <c r="B533" s="21"/>
      <c r="C533" s="22"/>
      <c r="D533" s="353"/>
      <c r="E533" s="73"/>
      <c r="F533" s="7"/>
      <c r="G533" s="7"/>
      <c r="H533" s="7"/>
      <c r="I533" s="180"/>
      <c r="J533" s="180"/>
      <c r="K533" s="284"/>
      <c r="L533" s="193"/>
      <c r="M533" s="180"/>
      <c r="N533" s="180"/>
      <c r="O533" s="180"/>
      <c r="P533" s="180"/>
      <c r="Q533" s="180"/>
      <c r="R533" s="180"/>
      <c r="S533" s="24"/>
      <c r="T533" s="182"/>
      <c r="U533" s="24"/>
      <c r="V533" s="32"/>
      <c r="W533" s="240"/>
      <c r="X533" s="64"/>
      <c r="Y533" s="75"/>
      <c r="Z533" s="64"/>
      <c r="AA533" s="64"/>
      <c r="AB533" s="25"/>
      <c r="AC533" s="23"/>
      <c r="AD533" s="23"/>
      <c r="AE533" s="23"/>
      <c r="AF533" s="335"/>
      <c r="AG533" s="336"/>
      <c r="AH533" s="334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</row>
    <row r="534" spans="1:346" s="26" customFormat="1" ht="12" hidden="1" customHeight="1" x14ac:dyDescent="0.25">
      <c r="A534" s="21"/>
      <c r="B534" s="21"/>
      <c r="C534" s="22"/>
      <c r="D534" s="353"/>
      <c r="E534" s="73"/>
      <c r="F534" s="7"/>
      <c r="G534" s="7"/>
      <c r="H534" s="7"/>
      <c r="I534" s="180"/>
      <c r="J534" s="180"/>
      <c r="K534" s="284"/>
      <c r="L534" s="193"/>
      <c r="M534" s="180"/>
      <c r="N534" s="180"/>
      <c r="O534" s="180"/>
      <c r="P534" s="180"/>
      <c r="Q534" s="180"/>
      <c r="R534" s="180"/>
      <c r="S534" s="24"/>
      <c r="T534" s="182"/>
      <c r="U534" s="24"/>
      <c r="V534" s="32"/>
      <c r="W534" s="240"/>
      <c r="X534" s="64"/>
      <c r="Y534" s="75"/>
      <c r="Z534" s="64"/>
      <c r="AA534" s="64"/>
      <c r="AB534" s="25"/>
      <c r="AC534" s="23"/>
      <c r="AD534" s="23"/>
      <c r="AE534" s="23"/>
      <c r="AF534" s="335"/>
      <c r="AG534" s="336"/>
      <c r="AH534" s="334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</row>
    <row r="535" spans="1:346" s="26" customFormat="1" ht="12" hidden="1" customHeight="1" x14ac:dyDescent="0.25">
      <c r="A535" s="21"/>
      <c r="B535" s="21"/>
      <c r="C535" s="22"/>
      <c r="D535" s="353"/>
      <c r="E535" s="73"/>
      <c r="F535" s="7"/>
      <c r="G535" s="7"/>
      <c r="H535" s="7"/>
      <c r="I535" s="180"/>
      <c r="J535" s="180"/>
      <c r="K535" s="284"/>
      <c r="L535" s="193"/>
      <c r="M535" s="180"/>
      <c r="N535" s="180"/>
      <c r="O535" s="180"/>
      <c r="P535" s="180"/>
      <c r="Q535" s="180"/>
      <c r="R535" s="180"/>
      <c r="S535" s="24"/>
      <c r="T535" s="182"/>
      <c r="U535" s="24"/>
      <c r="V535" s="32"/>
      <c r="W535" s="240"/>
      <c r="X535" s="64"/>
      <c r="Y535" s="75"/>
      <c r="Z535" s="64"/>
      <c r="AA535" s="64"/>
      <c r="AB535" s="25"/>
      <c r="AC535" s="23"/>
      <c r="AD535" s="23"/>
      <c r="AE535" s="23"/>
      <c r="AF535" s="335"/>
      <c r="AG535" s="336"/>
      <c r="AH535" s="334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</row>
    <row r="536" spans="1:346" s="26" customFormat="1" ht="12" hidden="1" customHeight="1" x14ac:dyDescent="0.25">
      <c r="A536" s="21"/>
      <c r="B536" s="21"/>
      <c r="C536" s="22"/>
      <c r="D536" s="353"/>
      <c r="E536" s="73"/>
      <c r="F536" s="7"/>
      <c r="G536" s="7"/>
      <c r="H536" s="7"/>
      <c r="I536" s="180"/>
      <c r="J536" s="180"/>
      <c r="K536" s="284"/>
      <c r="L536" s="193"/>
      <c r="M536" s="180"/>
      <c r="N536" s="180"/>
      <c r="O536" s="180"/>
      <c r="P536" s="180"/>
      <c r="Q536" s="180"/>
      <c r="R536" s="180"/>
      <c r="S536" s="24"/>
      <c r="T536" s="182"/>
      <c r="U536" s="24"/>
      <c r="V536" s="32"/>
      <c r="W536" s="240"/>
      <c r="X536" s="64"/>
      <c r="Y536" s="75"/>
      <c r="Z536" s="64"/>
      <c r="AA536" s="64"/>
      <c r="AB536" s="25"/>
      <c r="AC536" s="23"/>
      <c r="AD536" s="23"/>
      <c r="AE536" s="23"/>
      <c r="AF536" s="335"/>
      <c r="AG536" s="336"/>
      <c r="AH536" s="334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</row>
    <row r="537" spans="1:346" s="26" customFormat="1" ht="12" hidden="1" customHeight="1" x14ac:dyDescent="0.25">
      <c r="A537" s="21"/>
      <c r="B537" s="21"/>
      <c r="C537" s="22"/>
      <c r="D537" s="353"/>
      <c r="E537" s="73"/>
      <c r="F537" s="7"/>
      <c r="G537" s="7"/>
      <c r="H537" s="7"/>
      <c r="I537" s="180"/>
      <c r="J537" s="180"/>
      <c r="K537" s="284"/>
      <c r="L537" s="193"/>
      <c r="M537" s="180"/>
      <c r="N537" s="180"/>
      <c r="O537" s="180"/>
      <c r="P537" s="180"/>
      <c r="Q537" s="180"/>
      <c r="R537" s="180"/>
      <c r="S537" s="24"/>
      <c r="T537" s="182"/>
      <c r="U537" s="24"/>
      <c r="V537" s="32"/>
      <c r="W537" s="240"/>
      <c r="X537" s="64"/>
      <c r="Y537" s="75"/>
      <c r="Z537" s="64"/>
      <c r="AA537" s="64"/>
      <c r="AB537" s="25"/>
      <c r="AC537" s="23"/>
      <c r="AD537" s="23"/>
      <c r="AE537" s="23"/>
      <c r="AF537" s="335"/>
      <c r="AG537" s="336"/>
      <c r="AH537" s="334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</row>
    <row r="538" spans="1:346" s="26" customFormat="1" ht="12" hidden="1" customHeight="1" x14ac:dyDescent="0.25">
      <c r="A538" s="21"/>
      <c r="B538" s="21"/>
      <c r="C538" s="22"/>
      <c r="D538" s="353"/>
      <c r="E538" s="73"/>
      <c r="F538" s="7"/>
      <c r="G538" s="7"/>
      <c r="H538" s="7"/>
      <c r="I538" s="180"/>
      <c r="J538" s="180"/>
      <c r="K538" s="284"/>
      <c r="L538" s="193"/>
      <c r="M538" s="180"/>
      <c r="N538" s="180"/>
      <c r="O538" s="180"/>
      <c r="P538" s="180"/>
      <c r="Q538" s="180"/>
      <c r="R538" s="180"/>
      <c r="S538" s="24"/>
      <c r="T538" s="182"/>
      <c r="U538" s="24"/>
      <c r="V538" s="32"/>
      <c r="W538" s="240"/>
      <c r="X538" s="64"/>
      <c r="Y538" s="75"/>
      <c r="Z538" s="64"/>
      <c r="AA538" s="64"/>
      <c r="AB538" s="25"/>
      <c r="AC538" s="23"/>
      <c r="AD538" s="23"/>
      <c r="AE538" s="23"/>
      <c r="AF538" s="335"/>
      <c r="AG538" s="336"/>
      <c r="AH538" s="334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</row>
    <row r="539" spans="1:346" s="26" customFormat="1" ht="12" hidden="1" customHeight="1" x14ac:dyDescent="0.25">
      <c r="A539" s="21"/>
      <c r="B539" s="21"/>
      <c r="C539" s="22"/>
      <c r="D539" s="353"/>
      <c r="E539" s="73"/>
      <c r="F539" s="7"/>
      <c r="G539" s="7"/>
      <c r="H539" s="7"/>
      <c r="I539" s="180"/>
      <c r="J539" s="180"/>
      <c r="K539" s="284"/>
      <c r="L539" s="193"/>
      <c r="M539" s="180"/>
      <c r="N539" s="180"/>
      <c r="O539" s="180"/>
      <c r="P539" s="180"/>
      <c r="Q539" s="180"/>
      <c r="R539" s="180"/>
      <c r="S539" s="24"/>
      <c r="T539" s="182"/>
      <c r="U539" s="24"/>
      <c r="V539" s="32"/>
      <c r="W539" s="240"/>
      <c r="X539" s="64"/>
      <c r="Y539" s="75"/>
      <c r="Z539" s="64"/>
      <c r="AA539" s="64"/>
      <c r="AB539" s="25"/>
      <c r="AC539" s="23"/>
      <c r="AD539" s="23"/>
      <c r="AE539" s="23"/>
      <c r="AF539" s="335"/>
      <c r="AG539" s="336"/>
      <c r="AH539" s="334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</row>
    <row r="540" spans="1:346" s="26" customFormat="1" ht="12" hidden="1" customHeight="1" x14ac:dyDescent="0.25">
      <c r="A540" s="21"/>
      <c r="B540" s="21"/>
      <c r="C540" s="22"/>
      <c r="D540" s="353"/>
      <c r="E540" s="73"/>
      <c r="F540" s="7"/>
      <c r="G540" s="7"/>
      <c r="H540" s="7"/>
      <c r="I540" s="180"/>
      <c r="J540" s="180"/>
      <c r="K540" s="284"/>
      <c r="L540" s="193"/>
      <c r="M540" s="180"/>
      <c r="N540" s="180"/>
      <c r="O540" s="180"/>
      <c r="P540" s="180"/>
      <c r="Q540" s="180"/>
      <c r="R540" s="180"/>
      <c r="S540" s="24"/>
      <c r="T540" s="182"/>
      <c r="U540" s="24"/>
      <c r="V540" s="32"/>
      <c r="W540" s="240"/>
      <c r="X540" s="64"/>
      <c r="Y540" s="75"/>
      <c r="Z540" s="64"/>
      <c r="AA540" s="64"/>
      <c r="AB540" s="25"/>
      <c r="AC540" s="23"/>
      <c r="AD540" s="23"/>
      <c r="AE540" s="23"/>
      <c r="AF540" s="335"/>
      <c r="AG540" s="336"/>
      <c r="AH540" s="334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</row>
    <row r="541" spans="1:346" s="26" customFormat="1" ht="12" hidden="1" customHeight="1" x14ac:dyDescent="0.25">
      <c r="A541" s="21"/>
      <c r="B541" s="21"/>
      <c r="C541" s="22"/>
      <c r="D541" s="353"/>
      <c r="E541" s="73"/>
      <c r="F541" s="7"/>
      <c r="G541" s="7"/>
      <c r="H541" s="7"/>
      <c r="I541" s="180"/>
      <c r="J541" s="180"/>
      <c r="K541" s="284"/>
      <c r="L541" s="193"/>
      <c r="M541" s="180"/>
      <c r="N541" s="180"/>
      <c r="O541" s="180"/>
      <c r="P541" s="180"/>
      <c r="Q541" s="180"/>
      <c r="R541" s="180"/>
      <c r="S541" s="24"/>
      <c r="T541" s="182"/>
      <c r="U541" s="24"/>
      <c r="V541" s="32"/>
      <c r="W541" s="240"/>
      <c r="X541" s="64"/>
      <c r="Y541" s="75"/>
      <c r="Z541" s="64"/>
      <c r="AA541" s="64"/>
      <c r="AB541" s="25"/>
      <c r="AC541" s="23"/>
      <c r="AD541" s="23"/>
      <c r="AE541" s="23"/>
      <c r="AF541" s="335"/>
      <c r="AG541" s="336"/>
      <c r="AH541" s="334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</row>
    <row r="542" spans="1:346" s="26" customFormat="1" ht="12" hidden="1" customHeight="1" x14ac:dyDescent="0.25">
      <c r="A542" s="21"/>
      <c r="B542" s="21"/>
      <c r="C542" s="22"/>
      <c r="D542" s="353"/>
      <c r="E542" s="73"/>
      <c r="F542" s="7"/>
      <c r="G542" s="7"/>
      <c r="H542" s="7"/>
      <c r="I542" s="180"/>
      <c r="J542" s="180"/>
      <c r="K542" s="284"/>
      <c r="L542" s="193"/>
      <c r="M542" s="180"/>
      <c r="N542" s="180"/>
      <c r="O542" s="180"/>
      <c r="P542" s="180"/>
      <c r="Q542" s="180"/>
      <c r="R542" s="180"/>
      <c r="S542" s="24"/>
      <c r="T542" s="182"/>
      <c r="U542" s="24"/>
      <c r="V542" s="32"/>
      <c r="W542" s="240"/>
      <c r="X542" s="64"/>
      <c r="Y542" s="75"/>
      <c r="Z542" s="64"/>
      <c r="AA542" s="64"/>
      <c r="AB542" s="25"/>
      <c r="AC542" s="23"/>
      <c r="AD542" s="23"/>
      <c r="AE542" s="23"/>
      <c r="AF542" s="335"/>
      <c r="AG542" s="336"/>
      <c r="AH542" s="334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</row>
    <row r="543" spans="1:346" s="26" customFormat="1" ht="12" hidden="1" customHeight="1" x14ac:dyDescent="0.25">
      <c r="A543" s="21"/>
      <c r="B543" s="21"/>
      <c r="C543" s="22"/>
      <c r="D543" s="353"/>
      <c r="E543" s="73"/>
      <c r="F543" s="7"/>
      <c r="G543" s="7"/>
      <c r="H543" s="7"/>
      <c r="I543" s="180"/>
      <c r="J543" s="180"/>
      <c r="K543" s="284"/>
      <c r="L543" s="193"/>
      <c r="M543" s="180"/>
      <c r="N543" s="180"/>
      <c r="O543" s="180"/>
      <c r="P543" s="180"/>
      <c r="Q543" s="180"/>
      <c r="R543" s="180"/>
      <c r="S543" s="24"/>
      <c r="T543" s="182"/>
      <c r="U543" s="24"/>
      <c r="V543" s="32"/>
      <c r="W543" s="240"/>
      <c r="X543" s="64"/>
      <c r="Y543" s="75"/>
      <c r="Z543" s="64"/>
      <c r="AA543" s="64"/>
      <c r="AB543" s="25"/>
      <c r="AC543" s="23"/>
      <c r="AD543" s="23"/>
      <c r="AE543" s="23"/>
      <c r="AF543" s="335"/>
      <c r="AG543" s="336"/>
      <c r="AH543" s="334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</row>
    <row r="544" spans="1:346" s="26" customFormat="1" ht="12" hidden="1" customHeight="1" x14ac:dyDescent="0.25">
      <c r="A544" s="21"/>
      <c r="B544" s="21"/>
      <c r="C544" s="22"/>
      <c r="D544" s="353"/>
      <c r="E544" s="73"/>
      <c r="F544" s="7"/>
      <c r="G544" s="7"/>
      <c r="H544" s="7"/>
      <c r="I544" s="180"/>
      <c r="J544" s="180"/>
      <c r="K544" s="284"/>
      <c r="L544" s="193"/>
      <c r="M544" s="180"/>
      <c r="N544" s="180"/>
      <c r="O544" s="180"/>
      <c r="P544" s="180"/>
      <c r="Q544" s="180"/>
      <c r="R544" s="180"/>
      <c r="S544" s="24"/>
      <c r="T544" s="182"/>
      <c r="U544" s="24"/>
      <c r="V544" s="32"/>
      <c r="W544" s="240"/>
      <c r="X544" s="64"/>
      <c r="Y544" s="75"/>
      <c r="Z544" s="64"/>
      <c r="AA544" s="64"/>
      <c r="AB544" s="25"/>
      <c r="AC544" s="23"/>
      <c r="AD544" s="23"/>
      <c r="AE544" s="23"/>
      <c r="AF544" s="335"/>
      <c r="AG544" s="336"/>
      <c r="AH544" s="334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</row>
    <row r="545" spans="1:346" s="26" customFormat="1" ht="12" hidden="1" customHeight="1" x14ac:dyDescent="0.25">
      <c r="A545" s="21"/>
      <c r="B545" s="21"/>
      <c r="C545" s="22"/>
      <c r="D545" s="353"/>
      <c r="E545" s="73"/>
      <c r="F545" s="7"/>
      <c r="G545" s="7"/>
      <c r="H545" s="7"/>
      <c r="I545" s="180"/>
      <c r="J545" s="180"/>
      <c r="K545" s="284"/>
      <c r="L545" s="193"/>
      <c r="M545" s="180"/>
      <c r="N545" s="180"/>
      <c r="O545" s="180"/>
      <c r="P545" s="180"/>
      <c r="Q545" s="180"/>
      <c r="R545" s="180"/>
      <c r="S545" s="24"/>
      <c r="T545" s="182"/>
      <c r="U545" s="24"/>
      <c r="V545" s="32"/>
      <c r="W545" s="240"/>
      <c r="X545" s="64"/>
      <c r="Y545" s="75"/>
      <c r="Z545" s="64"/>
      <c r="AA545" s="64"/>
      <c r="AB545" s="25"/>
      <c r="AC545" s="23"/>
      <c r="AD545" s="23"/>
      <c r="AE545" s="23"/>
      <c r="AF545" s="335"/>
      <c r="AG545" s="336"/>
      <c r="AH545" s="334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</row>
    <row r="546" spans="1:346" s="26" customFormat="1" ht="12" hidden="1" customHeight="1" x14ac:dyDescent="0.25">
      <c r="A546" s="21"/>
      <c r="B546" s="21"/>
      <c r="C546" s="22"/>
      <c r="D546" s="353"/>
      <c r="E546" s="73"/>
      <c r="F546" s="7"/>
      <c r="G546" s="7"/>
      <c r="H546" s="7"/>
      <c r="I546" s="180"/>
      <c r="J546" s="180"/>
      <c r="K546" s="284"/>
      <c r="L546" s="193"/>
      <c r="M546" s="180"/>
      <c r="N546" s="180"/>
      <c r="O546" s="180"/>
      <c r="P546" s="180"/>
      <c r="Q546" s="180"/>
      <c r="R546" s="180"/>
      <c r="S546" s="24"/>
      <c r="T546" s="182"/>
      <c r="U546" s="24"/>
      <c r="V546" s="32"/>
      <c r="W546" s="240"/>
      <c r="X546" s="64"/>
      <c r="Y546" s="75"/>
      <c r="Z546" s="64"/>
      <c r="AA546" s="64"/>
      <c r="AB546" s="25"/>
      <c r="AC546" s="23"/>
      <c r="AD546" s="23"/>
      <c r="AE546" s="23"/>
      <c r="AF546" s="335"/>
      <c r="AG546" s="336"/>
      <c r="AH546" s="334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</row>
    <row r="547" spans="1:346" s="26" customFormat="1" ht="12" hidden="1" customHeight="1" x14ac:dyDescent="0.25">
      <c r="A547" s="21"/>
      <c r="B547" s="21"/>
      <c r="C547" s="22"/>
      <c r="D547" s="353"/>
      <c r="E547" s="73"/>
      <c r="F547" s="7"/>
      <c r="G547" s="7"/>
      <c r="H547" s="7"/>
      <c r="I547" s="180"/>
      <c r="J547" s="180"/>
      <c r="K547" s="284"/>
      <c r="L547" s="193"/>
      <c r="M547" s="180"/>
      <c r="N547" s="180"/>
      <c r="O547" s="180"/>
      <c r="P547" s="180"/>
      <c r="Q547" s="180"/>
      <c r="R547" s="180"/>
      <c r="S547" s="24"/>
      <c r="T547" s="182"/>
      <c r="U547" s="24"/>
      <c r="V547" s="32"/>
      <c r="W547" s="240"/>
      <c r="X547" s="64"/>
      <c r="Y547" s="75"/>
      <c r="Z547" s="64"/>
      <c r="AA547" s="64"/>
      <c r="AB547" s="25"/>
      <c r="AC547" s="23"/>
      <c r="AD547" s="23"/>
      <c r="AE547" s="23"/>
      <c r="AF547" s="335"/>
      <c r="AG547" s="336"/>
      <c r="AH547" s="334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</row>
    <row r="548" spans="1:346" s="26" customFormat="1" ht="12" hidden="1" customHeight="1" x14ac:dyDescent="0.25">
      <c r="A548" s="21"/>
      <c r="B548" s="21"/>
      <c r="C548" s="22"/>
      <c r="D548" s="353"/>
      <c r="E548" s="73"/>
      <c r="F548" s="7"/>
      <c r="G548" s="7"/>
      <c r="H548" s="7"/>
      <c r="I548" s="180"/>
      <c r="J548" s="180"/>
      <c r="K548" s="284"/>
      <c r="L548" s="193"/>
      <c r="M548" s="180"/>
      <c r="N548" s="180"/>
      <c r="O548" s="180"/>
      <c r="P548" s="180"/>
      <c r="Q548" s="180"/>
      <c r="R548" s="180"/>
      <c r="S548" s="24"/>
      <c r="T548" s="182"/>
      <c r="U548" s="24"/>
      <c r="V548" s="32"/>
      <c r="W548" s="240"/>
      <c r="X548" s="64"/>
      <c r="Y548" s="75"/>
      <c r="Z548" s="64"/>
      <c r="AA548" s="64"/>
      <c r="AB548" s="25"/>
      <c r="AC548" s="23"/>
      <c r="AD548" s="23"/>
      <c r="AE548" s="23"/>
      <c r="AF548" s="335"/>
      <c r="AG548" s="336"/>
      <c r="AH548" s="334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</row>
    <row r="549" spans="1:346" s="26" customFormat="1" ht="12" hidden="1" customHeight="1" x14ac:dyDescent="0.25">
      <c r="A549" s="21"/>
      <c r="B549" s="21"/>
      <c r="C549" s="22"/>
      <c r="D549" s="353"/>
      <c r="E549" s="73"/>
      <c r="F549" s="7"/>
      <c r="G549" s="7"/>
      <c r="H549" s="7"/>
      <c r="I549" s="180"/>
      <c r="J549" s="180"/>
      <c r="K549" s="284"/>
      <c r="L549" s="193"/>
      <c r="M549" s="180"/>
      <c r="N549" s="180"/>
      <c r="O549" s="180"/>
      <c r="P549" s="180"/>
      <c r="Q549" s="180"/>
      <c r="R549" s="180"/>
      <c r="S549" s="24"/>
      <c r="T549" s="182"/>
      <c r="U549" s="24"/>
      <c r="V549" s="32"/>
      <c r="W549" s="240"/>
      <c r="X549" s="64"/>
      <c r="Y549" s="75"/>
      <c r="Z549" s="64"/>
      <c r="AA549" s="64"/>
      <c r="AB549" s="25"/>
      <c r="AC549" s="23"/>
      <c r="AD549" s="23"/>
      <c r="AE549" s="23"/>
      <c r="AF549" s="335"/>
      <c r="AG549" s="336"/>
      <c r="AH549" s="334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</row>
    <row r="550" spans="1:346" s="26" customFormat="1" ht="12" hidden="1" customHeight="1" x14ac:dyDescent="0.25">
      <c r="A550" s="21"/>
      <c r="B550" s="21"/>
      <c r="C550" s="22"/>
      <c r="D550" s="353"/>
      <c r="E550" s="73"/>
      <c r="F550" s="7"/>
      <c r="G550" s="7"/>
      <c r="H550" s="7"/>
      <c r="I550" s="180"/>
      <c r="J550" s="180"/>
      <c r="K550" s="284"/>
      <c r="L550" s="193"/>
      <c r="M550" s="180"/>
      <c r="N550" s="180"/>
      <c r="O550" s="180"/>
      <c r="P550" s="180"/>
      <c r="Q550" s="180"/>
      <c r="R550" s="180"/>
      <c r="S550" s="24"/>
      <c r="T550" s="182"/>
      <c r="U550" s="24"/>
      <c r="V550" s="32"/>
      <c r="W550" s="240"/>
      <c r="X550" s="64"/>
      <c r="Y550" s="75"/>
      <c r="Z550" s="64"/>
      <c r="AA550" s="64"/>
      <c r="AB550" s="25"/>
      <c r="AC550" s="23"/>
      <c r="AD550" s="23"/>
      <c r="AE550" s="23"/>
      <c r="AF550" s="335"/>
      <c r="AG550" s="336"/>
      <c r="AH550" s="334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</row>
    <row r="551" spans="1:346" s="26" customFormat="1" ht="12" hidden="1" customHeight="1" x14ac:dyDescent="0.25">
      <c r="A551" s="21"/>
      <c r="B551" s="21"/>
      <c r="C551" s="22"/>
      <c r="D551" s="353"/>
      <c r="E551" s="73"/>
      <c r="F551" s="7"/>
      <c r="G551" s="7"/>
      <c r="H551" s="7"/>
      <c r="I551" s="180"/>
      <c r="J551" s="180"/>
      <c r="K551" s="284"/>
      <c r="L551" s="193"/>
      <c r="M551" s="180"/>
      <c r="N551" s="180"/>
      <c r="O551" s="180"/>
      <c r="P551" s="180"/>
      <c r="Q551" s="180"/>
      <c r="R551" s="180"/>
      <c r="S551" s="24"/>
      <c r="T551" s="182"/>
      <c r="U551" s="24"/>
      <c r="V551" s="32"/>
      <c r="W551" s="240"/>
      <c r="X551" s="64"/>
      <c r="Y551" s="75"/>
      <c r="Z551" s="64"/>
      <c r="AA551" s="64"/>
      <c r="AB551" s="25"/>
      <c r="AC551" s="23"/>
      <c r="AD551" s="23"/>
      <c r="AE551" s="23"/>
      <c r="AF551" s="335"/>
      <c r="AG551" s="336"/>
      <c r="AH551" s="334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</row>
    <row r="552" spans="1:346" s="26" customFormat="1" ht="12" hidden="1" customHeight="1" x14ac:dyDescent="0.25">
      <c r="A552" s="21"/>
      <c r="B552" s="21"/>
      <c r="C552" s="22"/>
      <c r="D552" s="353"/>
      <c r="E552" s="73"/>
      <c r="F552" s="7"/>
      <c r="G552" s="7"/>
      <c r="H552" s="7"/>
      <c r="I552" s="180"/>
      <c r="J552" s="180"/>
      <c r="K552" s="284"/>
      <c r="L552" s="193"/>
      <c r="M552" s="180"/>
      <c r="N552" s="180"/>
      <c r="O552" s="180"/>
      <c r="P552" s="180"/>
      <c r="Q552" s="180"/>
      <c r="R552" s="180"/>
      <c r="S552" s="24"/>
      <c r="T552" s="182"/>
      <c r="U552" s="24"/>
      <c r="V552" s="32"/>
      <c r="W552" s="240"/>
      <c r="X552" s="64"/>
      <c r="Y552" s="75"/>
      <c r="Z552" s="64"/>
      <c r="AA552" s="64"/>
      <c r="AB552" s="25"/>
      <c r="AC552" s="23"/>
      <c r="AD552" s="23"/>
      <c r="AE552" s="23"/>
      <c r="AF552" s="335"/>
      <c r="AG552" s="336"/>
      <c r="AH552" s="334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</row>
    <row r="553" spans="1:346" s="26" customFormat="1" ht="12" hidden="1" customHeight="1" x14ac:dyDescent="0.25">
      <c r="A553" s="21"/>
      <c r="B553" s="21"/>
      <c r="C553" s="22"/>
      <c r="D553" s="353"/>
      <c r="E553" s="73"/>
      <c r="F553" s="7"/>
      <c r="G553" s="7"/>
      <c r="H553" s="7"/>
      <c r="I553" s="180"/>
      <c r="J553" s="180"/>
      <c r="K553" s="284"/>
      <c r="L553" s="193"/>
      <c r="M553" s="180"/>
      <c r="N553" s="180"/>
      <c r="O553" s="180"/>
      <c r="P553" s="180"/>
      <c r="Q553" s="180"/>
      <c r="R553" s="180"/>
      <c r="S553" s="24"/>
      <c r="T553" s="182"/>
      <c r="U553" s="24"/>
      <c r="V553" s="32"/>
      <c r="W553" s="240"/>
      <c r="X553" s="64"/>
      <c r="Y553" s="75"/>
      <c r="Z553" s="64"/>
      <c r="AA553" s="64"/>
      <c r="AB553" s="25"/>
      <c r="AC553" s="23"/>
      <c r="AD553" s="23"/>
      <c r="AE553" s="23"/>
      <c r="AF553" s="335"/>
      <c r="AG553" s="336"/>
      <c r="AH553" s="334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</row>
    <row r="554" spans="1:346" s="26" customFormat="1" ht="12" hidden="1" customHeight="1" x14ac:dyDescent="0.25">
      <c r="A554" s="21"/>
      <c r="B554" s="21"/>
      <c r="C554" s="22"/>
      <c r="D554" s="353"/>
      <c r="E554" s="73"/>
      <c r="F554" s="7"/>
      <c r="G554" s="7"/>
      <c r="H554" s="7"/>
      <c r="I554" s="180"/>
      <c r="J554" s="180"/>
      <c r="K554" s="284"/>
      <c r="L554" s="193"/>
      <c r="M554" s="180"/>
      <c r="N554" s="180"/>
      <c r="O554" s="180"/>
      <c r="P554" s="180"/>
      <c r="Q554" s="180"/>
      <c r="R554" s="180"/>
      <c r="S554" s="24"/>
      <c r="T554" s="182"/>
      <c r="U554" s="24"/>
      <c r="V554" s="32"/>
      <c r="W554" s="240"/>
      <c r="X554" s="64"/>
      <c r="Y554" s="75"/>
      <c r="Z554" s="64"/>
      <c r="AA554" s="64"/>
      <c r="AB554" s="25"/>
      <c r="AC554" s="23"/>
      <c r="AD554" s="23"/>
      <c r="AE554" s="23"/>
      <c r="AF554" s="335"/>
      <c r="AG554" s="336"/>
      <c r="AH554" s="334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</row>
    <row r="555" spans="1:346" s="26" customFormat="1" ht="12" hidden="1" customHeight="1" x14ac:dyDescent="0.25">
      <c r="A555" s="21"/>
      <c r="B555" s="21"/>
      <c r="C555" s="22"/>
      <c r="D555" s="353"/>
      <c r="E555" s="73"/>
      <c r="F555" s="7"/>
      <c r="G555" s="7"/>
      <c r="H555" s="7"/>
      <c r="I555" s="180"/>
      <c r="J555" s="180"/>
      <c r="K555" s="284"/>
      <c r="L555" s="193"/>
      <c r="M555" s="180"/>
      <c r="N555" s="180"/>
      <c r="O555" s="180"/>
      <c r="P555" s="180"/>
      <c r="Q555" s="180"/>
      <c r="R555" s="180"/>
      <c r="S555" s="24"/>
      <c r="T555" s="182"/>
      <c r="U555" s="24"/>
      <c r="V555" s="32"/>
      <c r="W555" s="240"/>
      <c r="X555" s="64"/>
      <c r="Y555" s="75"/>
      <c r="Z555" s="64"/>
      <c r="AA555" s="64"/>
      <c r="AB555" s="25"/>
      <c r="AC555" s="23"/>
      <c r="AD555" s="23"/>
      <c r="AE555" s="23"/>
      <c r="AF555" s="335"/>
      <c r="AG555" s="336"/>
      <c r="AH555" s="334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</row>
    <row r="556" spans="1:346" s="26" customFormat="1" ht="12" hidden="1" customHeight="1" x14ac:dyDescent="0.25">
      <c r="A556" s="21"/>
      <c r="B556" s="21"/>
      <c r="C556" s="22"/>
      <c r="D556" s="353"/>
      <c r="E556" s="73"/>
      <c r="F556" s="7"/>
      <c r="G556" s="7"/>
      <c r="H556" s="7"/>
      <c r="I556" s="180"/>
      <c r="J556" s="180"/>
      <c r="K556" s="284"/>
      <c r="L556" s="193"/>
      <c r="M556" s="180"/>
      <c r="N556" s="180"/>
      <c r="O556" s="180"/>
      <c r="P556" s="180"/>
      <c r="Q556" s="180"/>
      <c r="R556" s="180"/>
      <c r="S556" s="24"/>
      <c r="T556" s="182"/>
      <c r="U556" s="24"/>
      <c r="V556" s="32"/>
      <c r="W556" s="240"/>
      <c r="X556" s="64"/>
      <c r="Y556" s="75"/>
      <c r="Z556" s="64"/>
      <c r="AA556" s="64"/>
      <c r="AB556" s="25"/>
      <c r="AC556" s="23"/>
      <c r="AD556" s="23"/>
      <c r="AE556" s="23"/>
      <c r="AF556" s="335"/>
      <c r="AG556" s="336"/>
      <c r="AH556" s="334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</row>
    <row r="557" spans="1:346" s="26" customFormat="1" ht="12" hidden="1" customHeight="1" x14ac:dyDescent="0.25">
      <c r="A557" s="21"/>
      <c r="B557" s="21"/>
      <c r="C557" s="22"/>
      <c r="D557" s="353"/>
      <c r="E557" s="73"/>
      <c r="F557" s="7"/>
      <c r="G557" s="7"/>
      <c r="H557" s="7"/>
      <c r="I557" s="180"/>
      <c r="J557" s="180"/>
      <c r="K557" s="284"/>
      <c r="L557" s="193"/>
      <c r="M557" s="180"/>
      <c r="N557" s="180"/>
      <c r="O557" s="180"/>
      <c r="P557" s="180"/>
      <c r="Q557" s="180"/>
      <c r="R557" s="180"/>
      <c r="S557" s="24"/>
      <c r="T557" s="182"/>
      <c r="U557" s="24"/>
      <c r="V557" s="32"/>
      <c r="W557" s="240"/>
      <c r="X557" s="64"/>
      <c r="Y557" s="75"/>
      <c r="Z557" s="64"/>
      <c r="AA557" s="64"/>
      <c r="AB557" s="25"/>
      <c r="AC557" s="23"/>
      <c r="AD557" s="23"/>
      <c r="AE557" s="23"/>
      <c r="AF557" s="335"/>
      <c r="AG557" s="336"/>
      <c r="AH557" s="334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</row>
    <row r="558" spans="1:346" s="26" customFormat="1" ht="12" hidden="1" customHeight="1" x14ac:dyDescent="0.25">
      <c r="A558" s="21"/>
      <c r="B558" s="21"/>
      <c r="C558" s="22"/>
      <c r="D558" s="353"/>
      <c r="E558" s="73"/>
      <c r="F558" s="7"/>
      <c r="G558" s="7"/>
      <c r="H558" s="7"/>
      <c r="I558" s="180"/>
      <c r="J558" s="180"/>
      <c r="K558" s="284"/>
      <c r="L558" s="193"/>
      <c r="M558" s="180"/>
      <c r="N558" s="180"/>
      <c r="O558" s="180"/>
      <c r="P558" s="180"/>
      <c r="Q558" s="180"/>
      <c r="R558" s="180"/>
      <c r="S558" s="24"/>
      <c r="T558" s="182"/>
      <c r="U558" s="24"/>
      <c r="V558" s="32"/>
      <c r="W558" s="240"/>
      <c r="X558" s="64"/>
      <c r="Y558" s="75"/>
      <c r="Z558" s="64"/>
      <c r="AA558" s="64"/>
      <c r="AB558" s="25"/>
      <c r="AC558" s="23"/>
      <c r="AD558" s="23"/>
      <c r="AE558" s="23"/>
      <c r="AF558" s="335"/>
      <c r="AG558" s="336"/>
      <c r="AH558" s="334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</row>
    <row r="559" spans="1:346" s="26" customFormat="1" ht="12" hidden="1" customHeight="1" x14ac:dyDescent="0.25">
      <c r="A559" s="21"/>
      <c r="B559" s="21"/>
      <c r="C559" s="22"/>
      <c r="D559" s="353"/>
      <c r="E559" s="73"/>
      <c r="F559" s="7"/>
      <c r="G559" s="7"/>
      <c r="H559" s="7"/>
      <c r="I559" s="180"/>
      <c r="J559" s="180"/>
      <c r="K559" s="284"/>
      <c r="L559" s="193"/>
      <c r="M559" s="180"/>
      <c r="N559" s="180"/>
      <c r="O559" s="180"/>
      <c r="P559" s="180"/>
      <c r="Q559" s="180"/>
      <c r="R559" s="180"/>
      <c r="S559" s="24"/>
      <c r="T559" s="182"/>
      <c r="U559" s="24"/>
      <c r="V559" s="32"/>
      <c r="W559" s="240"/>
      <c r="X559" s="64"/>
      <c r="Y559" s="75"/>
      <c r="Z559" s="64"/>
      <c r="AA559" s="64"/>
      <c r="AB559" s="25"/>
      <c r="AC559" s="23"/>
      <c r="AD559" s="23"/>
      <c r="AE559" s="23"/>
      <c r="AF559" s="335"/>
      <c r="AG559" s="336"/>
      <c r="AH559" s="334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</row>
    <row r="560" spans="1:346" s="26" customFormat="1" ht="12" hidden="1" customHeight="1" x14ac:dyDescent="0.25">
      <c r="A560" s="21"/>
      <c r="B560" s="21"/>
      <c r="C560" s="22"/>
      <c r="D560" s="353"/>
      <c r="E560" s="73"/>
      <c r="F560" s="7"/>
      <c r="G560" s="7"/>
      <c r="H560" s="7"/>
      <c r="I560" s="180"/>
      <c r="J560" s="180"/>
      <c r="K560" s="284"/>
      <c r="L560" s="193"/>
      <c r="M560" s="180"/>
      <c r="N560" s="180"/>
      <c r="O560" s="180"/>
      <c r="P560" s="180"/>
      <c r="Q560" s="180"/>
      <c r="R560" s="180"/>
      <c r="S560" s="24"/>
      <c r="T560" s="182"/>
      <c r="U560" s="24"/>
      <c r="V560" s="32"/>
      <c r="W560" s="240"/>
      <c r="X560" s="64"/>
      <c r="Y560" s="75"/>
      <c r="Z560" s="64"/>
      <c r="AA560" s="64"/>
      <c r="AB560" s="25"/>
      <c r="AC560" s="23"/>
      <c r="AD560" s="23"/>
      <c r="AE560" s="23"/>
      <c r="AF560" s="335"/>
      <c r="AG560" s="336"/>
      <c r="AH560" s="334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</row>
    <row r="561" spans="1:346" s="26" customFormat="1" ht="12" hidden="1" customHeight="1" x14ac:dyDescent="0.25">
      <c r="A561" s="21"/>
      <c r="B561" s="21"/>
      <c r="C561" s="22"/>
      <c r="D561" s="353"/>
      <c r="E561" s="73"/>
      <c r="F561" s="7"/>
      <c r="G561" s="7"/>
      <c r="H561" s="7"/>
      <c r="I561" s="180"/>
      <c r="J561" s="180"/>
      <c r="K561" s="284"/>
      <c r="L561" s="193"/>
      <c r="M561" s="180"/>
      <c r="N561" s="180"/>
      <c r="O561" s="180"/>
      <c r="P561" s="180"/>
      <c r="Q561" s="180"/>
      <c r="R561" s="180"/>
      <c r="S561" s="24"/>
      <c r="T561" s="182"/>
      <c r="U561" s="24"/>
      <c r="V561" s="32"/>
      <c r="W561" s="240"/>
      <c r="X561" s="64"/>
      <c r="Y561" s="75"/>
      <c r="Z561" s="64"/>
      <c r="AA561" s="64"/>
      <c r="AB561" s="25"/>
      <c r="AC561" s="23"/>
      <c r="AD561" s="23"/>
      <c r="AE561" s="23"/>
      <c r="AF561" s="335"/>
      <c r="AG561" s="336"/>
      <c r="AH561" s="334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</row>
    <row r="562" spans="1:346" s="26" customFormat="1" ht="12" hidden="1" customHeight="1" x14ac:dyDescent="0.25">
      <c r="A562" s="21"/>
      <c r="B562" s="21"/>
      <c r="C562" s="22"/>
      <c r="D562" s="353"/>
      <c r="E562" s="73"/>
      <c r="F562" s="7"/>
      <c r="G562" s="7"/>
      <c r="H562" s="7"/>
      <c r="I562" s="180"/>
      <c r="J562" s="180"/>
      <c r="K562" s="284"/>
      <c r="L562" s="193"/>
      <c r="M562" s="180"/>
      <c r="N562" s="180"/>
      <c r="O562" s="180"/>
      <c r="P562" s="180"/>
      <c r="Q562" s="180"/>
      <c r="R562" s="180"/>
      <c r="S562" s="24"/>
      <c r="T562" s="182"/>
      <c r="U562" s="24"/>
      <c r="V562" s="32"/>
      <c r="W562" s="240"/>
      <c r="X562" s="64"/>
      <c r="Y562" s="75"/>
      <c r="Z562" s="64"/>
      <c r="AA562" s="64"/>
      <c r="AB562" s="25"/>
      <c r="AC562" s="23"/>
      <c r="AD562" s="23"/>
      <c r="AE562" s="23"/>
      <c r="AF562" s="335"/>
      <c r="AG562" s="336"/>
      <c r="AH562" s="334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</row>
    <row r="563" spans="1:346" s="26" customFormat="1" ht="12" hidden="1" customHeight="1" x14ac:dyDescent="0.25">
      <c r="A563" s="21"/>
      <c r="B563" s="21"/>
      <c r="C563" s="22"/>
      <c r="D563" s="353"/>
      <c r="E563" s="73"/>
      <c r="F563" s="7"/>
      <c r="G563" s="7"/>
      <c r="H563" s="7"/>
      <c r="I563" s="180"/>
      <c r="J563" s="180"/>
      <c r="K563" s="284"/>
      <c r="L563" s="193"/>
      <c r="M563" s="180"/>
      <c r="N563" s="180"/>
      <c r="O563" s="180"/>
      <c r="P563" s="180"/>
      <c r="Q563" s="180"/>
      <c r="R563" s="180"/>
      <c r="S563" s="24"/>
      <c r="T563" s="182"/>
      <c r="U563" s="24"/>
      <c r="V563" s="32"/>
      <c r="W563" s="240"/>
      <c r="X563" s="64"/>
      <c r="Y563" s="75"/>
      <c r="Z563" s="64"/>
      <c r="AA563" s="64"/>
      <c r="AB563" s="25"/>
      <c r="AC563" s="23"/>
      <c r="AD563" s="23"/>
      <c r="AE563" s="23"/>
      <c r="AF563" s="335"/>
      <c r="AG563" s="336"/>
      <c r="AH563" s="334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</row>
    <row r="564" spans="1:346" s="26" customFormat="1" ht="12" hidden="1" customHeight="1" x14ac:dyDescent="0.25">
      <c r="A564" s="21"/>
      <c r="B564" s="21"/>
      <c r="C564" s="22"/>
      <c r="D564" s="353"/>
      <c r="E564" s="73"/>
      <c r="F564" s="7"/>
      <c r="G564" s="7"/>
      <c r="H564" s="7"/>
      <c r="I564" s="180"/>
      <c r="J564" s="180"/>
      <c r="K564" s="284"/>
      <c r="L564" s="193"/>
      <c r="M564" s="180"/>
      <c r="N564" s="180"/>
      <c r="O564" s="180"/>
      <c r="P564" s="180"/>
      <c r="Q564" s="180"/>
      <c r="R564" s="180"/>
      <c r="S564" s="24"/>
      <c r="T564" s="182"/>
      <c r="U564" s="24"/>
      <c r="V564" s="32"/>
      <c r="W564" s="240"/>
      <c r="X564" s="64"/>
      <c r="Y564" s="75"/>
      <c r="Z564" s="64"/>
      <c r="AA564" s="64"/>
      <c r="AB564" s="25"/>
      <c r="AC564" s="23"/>
      <c r="AD564" s="23"/>
      <c r="AE564" s="23"/>
      <c r="AF564" s="335"/>
      <c r="AG564" s="336"/>
      <c r="AH564" s="334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</row>
    <row r="565" spans="1:346" s="26" customFormat="1" ht="12" hidden="1" customHeight="1" x14ac:dyDescent="0.25">
      <c r="A565" s="21"/>
      <c r="B565" s="21"/>
      <c r="C565" s="22"/>
      <c r="D565" s="353"/>
      <c r="E565" s="73"/>
      <c r="F565" s="7"/>
      <c r="G565" s="7"/>
      <c r="H565" s="7"/>
      <c r="I565" s="180"/>
      <c r="J565" s="180"/>
      <c r="K565" s="284"/>
      <c r="L565" s="193"/>
      <c r="M565" s="180"/>
      <c r="N565" s="180"/>
      <c r="O565" s="180"/>
      <c r="P565" s="180"/>
      <c r="Q565" s="180"/>
      <c r="R565" s="180"/>
      <c r="S565" s="24"/>
      <c r="T565" s="182"/>
      <c r="U565" s="24"/>
      <c r="V565" s="32"/>
      <c r="W565" s="240"/>
      <c r="X565" s="64"/>
      <c r="Y565" s="75"/>
      <c r="Z565" s="64"/>
      <c r="AA565" s="64"/>
      <c r="AB565" s="25"/>
      <c r="AC565" s="23"/>
      <c r="AD565" s="23"/>
      <c r="AE565" s="23"/>
      <c r="AF565" s="335"/>
      <c r="AG565" s="336"/>
      <c r="AH565" s="334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</row>
    <row r="566" spans="1:346" s="26" customFormat="1" ht="12" hidden="1" customHeight="1" x14ac:dyDescent="0.25">
      <c r="A566" s="21"/>
      <c r="B566" s="21"/>
      <c r="C566" s="22"/>
      <c r="D566" s="353"/>
      <c r="E566" s="73"/>
      <c r="F566" s="7"/>
      <c r="G566" s="7"/>
      <c r="H566" s="7"/>
      <c r="I566" s="180"/>
      <c r="J566" s="180"/>
      <c r="K566" s="284"/>
      <c r="L566" s="193"/>
      <c r="M566" s="180"/>
      <c r="N566" s="180"/>
      <c r="O566" s="180"/>
      <c r="P566" s="180"/>
      <c r="Q566" s="180"/>
      <c r="R566" s="180"/>
      <c r="S566" s="24"/>
      <c r="T566" s="182"/>
      <c r="U566" s="24"/>
      <c r="V566" s="32"/>
      <c r="W566" s="240"/>
      <c r="X566" s="64"/>
      <c r="Y566" s="75"/>
      <c r="Z566" s="64"/>
      <c r="AA566" s="64"/>
      <c r="AB566" s="25"/>
      <c r="AC566" s="23"/>
      <c r="AD566" s="23"/>
      <c r="AE566" s="23"/>
      <c r="AF566" s="335"/>
      <c r="AG566" s="336"/>
      <c r="AH566" s="334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</row>
    <row r="567" spans="1:346" s="26" customFormat="1" ht="12" hidden="1" customHeight="1" x14ac:dyDescent="0.25">
      <c r="A567" s="21"/>
      <c r="B567" s="21"/>
      <c r="C567" s="22"/>
      <c r="D567" s="353"/>
      <c r="E567" s="73"/>
      <c r="F567" s="7"/>
      <c r="G567" s="7"/>
      <c r="H567" s="7"/>
      <c r="I567" s="180"/>
      <c r="J567" s="180"/>
      <c r="K567" s="284"/>
      <c r="L567" s="193"/>
      <c r="M567" s="180"/>
      <c r="N567" s="180"/>
      <c r="O567" s="180"/>
      <c r="P567" s="180"/>
      <c r="Q567" s="180"/>
      <c r="R567" s="180"/>
      <c r="S567" s="24"/>
      <c r="T567" s="182"/>
      <c r="U567" s="24"/>
      <c r="V567" s="32"/>
      <c r="W567" s="240"/>
      <c r="X567" s="64"/>
      <c r="Y567" s="75"/>
      <c r="Z567" s="64"/>
      <c r="AA567" s="64"/>
      <c r="AB567" s="25"/>
      <c r="AC567" s="23"/>
      <c r="AD567" s="23"/>
      <c r="AE567" s="23"/>
      <c r="AF567" s="335"/>
      <c r="AG567" s="336"/>
      <c r="AH567" s="334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</row>
    <row r="568" spans="1:346" s="26" customFormat="1" ht="12" hidden="1" customHeight="1" x14ac:dyDescent="0.25">
      <c r="A568" s="21"/>
      <c r="B568" s="21"/>
      <c r="C568" s="22"/>
      <c r="D568" s="353"/>
      <c r="E568" s="73"/>
      <c r="F568" s="7"/>
      <c r="G568" s="7"/>
      <c r="H568" s="7"/>
      <c r="I568" s="180"/>
      <c r="J568" s="180"/>
      <c r="K568" s="284"/>
      <c r="L568" s="193"/>
      <c r="M568" s="180"/>
      <c r="N568" s="180"/>
      <c r="O568" s="180"/>
      <c r="P568" s="180"/>
      <c r="Q568" s="180"/>
      <c r="R568" s="180"/>
      <c r="S568" s="24"/>
      <c r="T568" s="182"/>
      <c r="U568" s="24"/>
      <c r="V568" s="32"/>
      <c r="W568" s="240"/>
      <c r="X568" s="64"/>
      <c r="Y568" s="75"/>
      <c r="Z568" s="64"/>
      <c r="AA568" s="64"/>
      <c r="AB568" s="25"/>
      <c r="AC568" s="23"/>
      <c r="AD568" s="23"/>
      <c r="AE568" s="23"/>
      <c r="AF568" s="335"/>
      <c r="AG568" s="336"/>
      <c r="AH568" s="334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</row>
    <row r="569" spans="1:346" s="26" customFormat="1" ht="12" hidden="1" customHeight="1" x14ac:dyDescent="0.25">
      <c r="A569" s="21"/>
      <c r="B569" s="21"/>
      <c r="C569" s="22"/>
      <c r="D569" s="353"/>
      <c r="E569" s="73"/>
      <c r="F569" s="7"/>
      <c r="G569" s="7"/>
      <c r="H569" s="7"/>
      <c r="I569" s="180"/>
      <c r="J569" s="180"/>
      <c r="K569" s="284"/>
      <c r="L569" s="193"/>
      <c r="M569" s="180"/>
      <c r="N569" s="180"/>
      <c r="O569" s="180"/>
      <c r="P569" s="180"/>
      <c r="Q569" s="180"/>
      <c r="R569" s="180"/>
      <c r="S569" s="24"/>
      <c r="T569" s="182"/>
      <c r="U569" s="24"/>
      <c r="V569" s="32"/>
      <c r="W569" s="240"/>
      <c r="X569" s="64"/>
      <c r="Y569" s="75"/>
      <c r="Z569" s="64"/>
      <c r="AA569" s="64"/>
      <c r="AB569" s="25"/>
      <c r="AC569" s="23"/>
      <c r="AD569" s="23"/>
      <c r="AE569" s="23"/>
      <c r="AF569" s="335"/>
      <c r="AG569" s="336"/>
      <c r="AH569" s="334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</row>
    <row r="570" spans="1:346" s="26" customFormat="1" ht="12" hidden="1" customHeight="1" x14ac:dyDescent="0.25">
      <c r="A570" s="21"/>
      <c r="B570" s="21"/>
      <c r="C570" s="22"/>
      <c r="D570" s="353"/>
      <c r="E570" s="73"/>
      <c r="F570" s="7"/>
      <c r="G570" s="7"/>
      <c r="H570" s="7"/>
      <c r="I570" s="180"/>
      <c r="J570" s="180"/>
      <c r="K570" s="284"/>
      <c r="L570" s="193"/>
      <c r="M570" s="180"/>
      <c r="N570" s="180"/>
      <c r="O570" s="180"/>
      <c r="P570" s="180"/>
      <c r="Q570" s="180"/>
      <c r="R570" s="180"/>
      <c r="S570" s="24"/>
      <c r="T570" s="182"/>
      <c r="U570" s="24"/>
      <c r="V570" s="32"/>
      <c r="W570" s="240"/>
      <c r="X570" s="64"/>
      <c r="Y570" s="75"/>
      <c r="Z570" s="64"/>
      <c r="AA570" s="64"/>
      <c r="AB570" s="25"/>
      <c r="AC570" s="23"/>
      <c r="AD570" s="23"/>
      <c r="AE570" s="23"/>
      <c r="AF570" s="335"/>
      <c r="AG570" s="336"/>
      <c r="AH570" s="334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</row>
    <row r="571" spans="1:346" s="26" customFormat="1" ht="12" hidden="1" customHeight="1" x14ac:dyDescent="0.25">
      <c r="A571" s="21"/>
      <c r="B571" s="21"/>
      <c r="C571" s="22"/>
      <c r="D571" s="353"/>
      <c r="E571" s="73"/>
      <c r="F571" s="7"/>
      <c r="G571" s="7"/>
      <c r="H571" s="7"/>
      <c r="I571" s="180"/>
      <c r="J571" s="180"/>
      <c r="K571" s="284"/>
      <c r="L571" s="193"/>
      <c r="M571" s="180"/>
      <c r="N571" s="180"/>
      <c r="O571" s="180"/>
      <c r="P571" s="180"/>
      <c r="Q571" s="180"/>
      <c r="R571" s="180"/>
      <c r="S571" s="24"/>
      <c r="T571" s="182"/>
      <c r="U571" s="24"/>
      <c r="V571" s="32"/>
      <c r="W571" s="240"/>
      <c r="X571" s="64"/>
      <c r="Y571" s="75"/>
      <c r="Z571" s="64"/>
      <c r="AA571" s="64"/>
      <c r="AB571" s="25"/>
      <c r="AC571" s="23"/>
      <c r="AD571" s="23"/>
      <c r="AE571" s="23"/>
      <c r="AF571" s="335"/>
      <c r="AG571" s="336"/>
      <c r="AH571" s="334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</row>
    <row r="572" spans="1:346" s="26" customFormat="1" ht="12" hidden="1" customHeight="1" x14ac:dyDescent="0.25">
      <c r="A572" s="21"/>
      <c r="B572" s="21"/>
      <c r="C572" s="22"/>
      <c r="D572" s="353"/>
      <c r="E572" s="73"/>
      <c r="F572" s="7"/>
      <c r="G572" s="7"/>
      <c r="H572" s="7"/>
      <c r="I572" s="180"/>
      <c r="J572" s="180"/>
      <c r="K572" s="284"/>
      <c r="L572" s="193"/>
      <c r="M572" s="180"/>
      <c r="N572" s="180"/>
      <c r="O572" s="180"/>
      <c r="P572" s="180"/>
      <c r="Q572" s="180"/>
      <c r="R572" s="180"/>
      <c r="S572" s="24"/>
      <c r="T572" s="182"/>
      <c r="U572" s="24"/>
      <c r="V572" s="32"/>
      <c r="W572" s="240"/>
      <c r="X572" s="64"/>
      <c r="Y572" s="75"/>
      <c r="Z572" s="64"/>
      <c r="AA572" s="64"/>
      <c r="AB572" s="25"/>
      <c r="AC572" s="23"/>
      <c r="AD572" s="23"/>
      <c r="AE572" s="23"/>
      <c r="AF572" s="335"/>
      <c r="AG572" s="336"/>
      <c r="AH572" s="334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</row>
    <row r="573" spans="1:346" s="26" customFormat="1" ht="12" hidden="1" customHeight="1" x14ac:dyDescent="0.25">
      <c r="A573" s="21"/>
      <c r="B573" s="21"/>
      <c r="C573" s="22"/>
      <c r="D573" s="353"/>
      <c r="E573" s="73"/>
      <c r="F573" s="7"/>
      <c r="G573" s="7"/>
      <c r="H573" s="7"/>
      <c r="I573" s="180"/>
      <c r="J573" s="180"/>
      <c r="K573" s="284"/>
      <c r="L573" s="193"/>
      <c r="M573" s="180"/>
      <c r="N573" s="180"/>
      <c r="O573" s="180"/>
      <c r="P573" s="180"/>
      <c r="Q573" s="180"/>
      <c r="R573" s="180"/>
      <c r="S573" s="24"/>
      <c r="T573" s="182"/>
      <c r="U573" s="24"/>
      <c r="V573" s="32"/>
      <c r="W573" s="240"/>
      <c r="X573" s="64"/>
      <c r="Y573" s="75"/>
      <c r="Z573" s="64"/>
      <c r="AA573" s="64"/>
      <c r="AB573" s="25"/>
      <c r="AC573" s="23"/>
      <c r="AD573" s="23"/>
      <c r="AE573" s="23"/>
      <c r="AF573" s="335"/>
      <c r="AG573" s="336"/>
      <c r="AH573" s="334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</row>
    <row r="574" spans="1:346" s="26" customFormat="1" ht="12" hidden="1" customHeight="1" x14ac:dyDescent="0.25">
      <c r="A574" s="21"/>
      <c r="B574" s="21"/>
      <c r="C574" s="22"/>
      <c r="D574" s="353"/>
      <c r="E574" s="73"/>
      <c r="F574" s="7"/>
      <c r="G574" s="7"/>
      <c r="H574" s="7"/>
      <c r="I574" s="180"/>
      <c r="J574" s="180"/>
      <c r="K574" s="284"/>
      <c r="L574" s="193"/>
      <c r="M574" s="180"/>
      <c r="N574" s="180"/>
      <c r="O574" s="180"/>
      <c r="P574" s="180"/>
      <c r="Q574" s="180"/>
      <c r="R574" s="180"/>
      <c r="S574" s="24"/>
      <c r="T574" s="182"/>
      <c r="U574" s="24"/>
      <c r="V574" s="32"/>
      <c r="W574" s="240"/>
      <c r="X574" s="64"/>
      <c r="Y574" s="75"/>
      <c r="Z574" s="64"/>
      <c r="AA574" s="64"/>
      <c r="AB574" s="25"/>
      <c r="AC574" s="23"/>
      <c r="AD574" s="23"/>
      <c r="AE574" s="23"/>
      <c r="AF574" s="335"/>
      <c r="AG574" s="336"/>
      <c r="AH574" s="334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</row>
    <row r="575" spans="1:346" s="26" customFormat="1" ht="12" hidden="1" customHeight="1" x14ac:dyDescent="0.25">
      <c r="A575" s="21"/>
      <c r="B575" s="21"/>
      <c r="C575" s="22"/>
      <c r="D575" s="353"/>
      <c r="E575" s="73"/>
      <c r="F575" s="7"/>
      <c r="G575" s="7"/>
      <c r="H575" s="7"/>
      <c r="I575" s="180"/>
      <c r="J575" s="180"/>
      <c r="K575" s="284"/>
      <c r="L575" s="193"/>
      <c r="M575" s="180"/>
      <c r="N575" s="180"/>
      <c r="O575" s="180"/>
      <c r="P575" s="180"/>
      <c r="Q575" s="180"/>
      <c r="R575" s="180"/>
      <c r="S575" s="24"/>
      <c r="T575" s="182"/>
      <c r="U575" s="24"/>
      <c r="V575" s="32"/>
      <c r="W575" s="240"/>
      <c r="X575" s="64"/>
      <c r="Y575" s="75"/>
      <c r="Z575" s="64"/>
      <c r="AA575" s="64"/>
      <c r="AB575" s="25"/>
      <c r="AC575" s="23"/>
      <c r="AD575" s="23"/>
      <c r="AE575" s="23"/>
      <c r="AF575" s="335"/>
      <c r="AG575" s="336"/>
      <c r="AH575" s="334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</row>
    <row r="576" spans="1:346" s="26" customFormat="1" ht="12" hidden="1" customHeight="1" x14ac:dyDescent="0.25">
      <c r="A576" s="21"/>
      <c r="B576" s="21"/>
      <c r="C576" s="22"/>
      <c r="D576" s="353"/>
      <c r="E576" s="73"/>
      <c r="F576" s="7"/>
      <c r="G576" s="7"/>
      <c r="H576" s="7"/>
      <c r="I576" s="180"/>
      <c r="J576" s="180"/>
      <c r="K576" s="284"/>
      <c r="L576" s="193"/>
      <c r="M576" s="180"/>
      <c r="N576" s="180"/>
      <c r="O576" s="180"/>
      <c r="P576" s="180"/>
      <c r="Q576" s="180"/>
      <c r="R576" s="180"/>
      <c r="S576" s="24"/>
      <c r="T576" s="182"/>
      <c r="U576" s="24"/>
      <c r="V576" s="32"/>
      <c r="W576" s="240"/>
      <c r="X576" s="64"/>
      <c r="Y576" s="75"/>
      <c r="Z576" s="64"/>
      <c r="AA576" s="64"/>
      <c r="AB576" s="25"/>
      <c r="AC576" s="23"/>
      <c r="AD576" s="23"/>
      <c r="AE576" s="23"/>
      <c r="AF576" s="335"/>
      <c r="AG576" s="336"/>
      <c r="AH576" s="334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</row>
    <row r="577" spans="1:346" s="26" customFormat="1" ht="12" hidden="1" customHeight="1" x14ac:dyDescent="0.25">
      <c r="A577" s="21"/>
      <c r="B577" s="21"/>
      <c r="C577" s="22"/>
      <c r="D577" s="353"/>
      <c r="E577" s="73"/>
      <c r="F577" s="7"/>
      <c r="G577" s="7"/>
      <c r="H577" s="7"/>
      <c r="I577" s="180"/>
      <c r="J577" s="180"/>
      <c r="K577" s="284"/>
      <c r="L577" s="193"/>
      <c r="M577" s="180"/>
      <c r="N577" s="180"/>
      <c r="O577" s="180"/>
      <c r="P577" s="180"/>
      <c r="Q577" s="180"/>
      <c r="R577" s="180"/>
      <c r="S577" s="24"/>
      <c r="T577" s="182"/>
      <c r="U577" s="24"/>
      <c r="V577" s="32"/>
      <c r="W577" s="240"/>
      <c r="X577" s="64"/>
      <c r="Y577" s="75"/>
      <c r="Z577" s="64"/>
      <c r="AA577" s="64"/>
      <c r="AB577" s="25"/>
      <c r="AC577" s="23"/>
      <c r="AD577" s="23"/>
      <c r="AE577" s="23"/>
      <c r="AF577" s="335"/>
      <c r="AG577" s="336"/>
      <c r="AH577" s="334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</row>
    <row r="578" spans="1:346" s="26" customFormat="1" ht="12" hidden="1" customHeight="1" x14ac:dyDescent="0.25">
      <c r="A578" s="21"/>
      <c r="B578" s="21"/>
      <c r="C578" s="22"/>
      <c r="D578" s="353"/>
      <c r="E578" s="73"/>
      <c r="F578" s="7"/>
      <c r="G578" s="7"/>
      <c r="H578" s="7"/>
      <c r="I578" s="180"/>
      <c r="J578" s="180"/>
      <c r="K578" s="284"/>
      <c r="L578" s="193"/>
      <c r="M578" s="180"/>
      <c r="N578" s="180"/>
      <c r="O578" s="180"/>
      <c r="P578" s="180"/>
      <c r="Q578" s="180"/>
      <c r="R578" s="180"/>
      <c r="S578" s="24"/>
      <c r="T578" s="182"/>
      <c r="U578" s="24"/>
      <c r="V578" s="32"/>
      <c r="W578" s="240"/>
      <c r="X578" s="64"/>
      <c r="Y578" s="75"/>
      <c r="Z578" s="64"/>
      <c r="AA578" s="64"/>
      <c r="AB578" s="25"/>
      <c r="AC578" s="23"/>
      <c r="AD578" s="23"/>
      <c r="AE578" s="23"/>
      <c r="AF578" s="335"/>
      <c r="AG578" s="336"/>
      <c r="AH578" s="334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</row>
    <row r="579" spans="1:346" s="26" customFormat="1" ht="12" hidden="1" customHeight="1" x14ac:dyDescent="0.25">
      <c r="A579" s="21"/>
      <c r="B579" s="21"/>
      <c r="C579" s="22"/>
      <c r="D579" s="353"/>
      <c r="E579" s="73"/>
      <c r="F579" s="7"/>
      <c r="G579" s="7"/>
      <c r="H579" s="7"/>
      <c r="I579" s="180"/>
      <c r="J579" s="180"/>
      <c r="K579" s="284"/>
      <c r="L579" s="193"/>
      <c r="M579" s="180"/>
      <c r="N579" s="180"/>
      <c r="O579" s="180"/>
      <c r="P579" s="180"/>
      <c r="Q579" s="180"/>
      <c r="R579" s="180"/>
      <c r="S579" s="24"/>
      <c r="T579" s="182"/>
      <c r="U579" s="24"/>
      <c r="V579" s="32"/>
      <c r="W579" s="240"/>
      <c r="X579" s="64"/>
      <c r="Y579" s="75"/>
      <c r="Z579" s="64"/>
      <c r="AA579" s="64"/>
      <c r="AB579" s="25"/>
      <c r="AC579" s="23"/>
      <c r="AD579" s="23"/>
      <c r="AE579" s="23"/>
      <c r="AF579" s="335"/>
      <c r="AG579" s="336"/>
      <c r="AH579" s="334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</row>
    <row r="580" spans="1:346" s="26" customFormat="1" ht="12" hidden="1" customHeight="1" x14ac:dyDescent="0.25">
      <c r="A580" s="21"/>
      <c r="B580" s="21"/>
      <c r="C580" s="22"/>
      <c r="D580" s="353"/>
      <c r="E580" s="73"/>
      <c r="F580" s="7"/>
      <c r="G580" s="7"/>
      <c r="H580" s="7"/>
      <c r="I580" s="180"/>
      <c r="J580" s="180"/>
      <c r="K580" s="284"/>
      <c r="L580" s="193"/>
      <c r="M580" s="180"/>
      <c r="N580" s="180"/>
      <c r="O580" s="180"/>
      <c r="P580" s="180"/>
      <c r="Q580" s="180"/>
      <c r="R580" s="180"/>
      <c r="S580" s="24"/>
      <c r="T580" s="182"/>
      <c r="U580" s="24"/>
      <c r="V580" s="32"/>
      <c r="W580" s="240"/>
      <c r="X580" s="64"/>
      <c r="Y580" s="75"/>
      <c r="Z580" s="64"/>
      <c r="AA580" s="64"/>
      <c r="AB580" s="25"/>
      <c r="AC580" s="23"/>
      <c r="AD580" s="23"/>
      <c r="AE580" s="23"/>
      <c r="AF580" s="335"/>
      <c r="AG580" s="336"/>
      <c r="AH580" s="334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</row>
    <row r="581" spans="1:346" s="26" customFormat="1" ht="12" hidden="1" customHeight="1" x14ac:dyDescent="0.25">
      <c r="A581" s="21"/>
      <c r="B581" s="21"/>
      <c r="C581" s="22"/>
      <c r="D581" s="353"/>
      <c r="E581" s="73"/>
      <c r="F581" s="7"/>
      <c r="G581" s="7"/>
      <c r="H581" s="7"/>
      <c r="I581" s="180"/>
      <c r="J581" s="180"/>
      <c r="K581" s="284"/>
      <c r="L581" s="193"/>
      <c r="M581" s="180"/>
      <c r="N581" s="180"/>
      <c r="O581" s="180"/>
      <c r="P581" s="180"/>
      <c r="Q581" s="180"/>
      <c r="R581" s="180"/>
      <c r="S581" s="24"/>
      <c r="T581" s="182"/>
      <c r="U581" s="24"/>
      <c r="V581" s="32"/>
      <c r="W581" s="240"/>
      <c r="X581" s="64"/>
      <c r="Y581" s="75"/>
      <c r="Z581" s="64"/>
      <c r="AA581" s="64"/>
      <c r="AB581" s="25"/>
      <c r="AC581" s="23"/>
      <c r="AD581" s="23"/>
      <c r="AE581" s="23"/>
      <c r="AF581" s="335"/>
      <c r="AG581" s="336"/>
      <c r="AH581" s="334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</row>
    <row r="582" spans="1:346" s="26" customFormat="1" ht="12" hidden="1" customHeight="1" x14ac:dyDescent="0.25">
      <c r="A582" s="21"/>
      <c r="B582" s="21"/>
      <c r="C582" s="22"/>
      <c r="D582" s="353"/>
      <c r="E582" s="73"/>
      <c r="F582" s="7"/>
      <c r="G582" s="7"/>
      <c r="H582" s="7"/>
      <c r="I582" s="180"/>
      <c r="J582" s="180"/>
      <c r="K582" s="284"/>
      <c r="L582" s="193"/>
      <c r="M582" s="180"/>
      <c r="N582" s="180"/>
      <c r="O582" s="180"/>
      <c r="P582" s="180"/>
      <c r="Q582" s="180"/>
      <c r="R582" s="180"/>
      <c r="S582" s="24"/>
      <c r="T582" s="182"/>
      <c r="U582" s="24"/>
      <c r="V582" s="32"/>
      <c r="W582" s="240"/>
      <c r="X582" s="64"/>
      <c r="Y582" s="75"/>
      <c r="Z582" s="64"/>
      <c r="AA582" s="64"/>
      <c r="AB582" s="25"/>
      <c r="AC582" s="23"/>
      <c r="AD582" s="23"/>
      <c r="AE582" s="23"/>
      <c r="AF582" s="335"/>
      <c r="AG582" s="336"/>
      <c r="AH582" s="334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</row>
    <row r="583" spans="1:346" s="26" customFormat="1" ht="12" hidden="1" customHeight="1" x14ac:dyDescent="0.25">
      <c r="A583" s="21"/>
      <c r="B583" s="21"/>
      <c r="C583" s="22"/>
      <c r="D583" s="353"/>
      <c r="E583" s="73"/>
      <c r="F583" s="7"/>
      <c r="G583" s="7"/>
      <c r="H583" s="7"/>
      <c r="I583" s="180"/>
      <c r="J583" s="180"/>
      <c r="K583" s="284"/>
      <c r="L583" s="193"/>
      <c r="M583" s="180"/>
      <c r="N583" s="180"/>
      <c r="O583" s="180"/>
      <c r="P583" s="180"/>
      <c r="Q583" s="180"/>
      <c r="R583" s="180"/>
      <c r="S583" s="24"/>
      <c r="T583" s="182"/>
      <c r="U583" s="24"/>
      <c r="V583" s="32"/>
      <c r="W583" s="240"/>
      <c r="X583" s="64"/>
      <c r="Y583" s="75"/>
      <c r="Z583" s="64"/>
      <c r="AA583" s="64"/>
      <c r="AB583" s="25"/>
      <c r="AC583" s="23"/>
      <c r="AD583" s="23"/>
      <c r="AE583" s="23"/>
      <c r="AF583" s="335"/>
      <c r="AG583" s="336"/>
      <c r="AH583" s="334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</row>
    <row r="584" spans="1:346" s="26" customFormat="1" ht="12" hidden="1" customHeight="1" x14ac:dyDescent="0.25">
      <c r="A584" s="21"/>
      <c r="B584" s="21"/>
      <c r="C584" s="22"/>
      <c r="D584" s="353"/>
      <c r="E584" s="73"/>
      <c r="F584" s="7"/>
      <c r="G584" s="7"/>
      <c r="H584" s="7"/>
      <c r="I584" s="180"/>
      <c r="J584" s="180"/>
      <c r="K584" s="284"/>
      <c r="L584" s="193"/>
      <c r="M584" s="180"/>
      <c r="N584" s="180"/>
      <c r="O584" s="180"/>
      <c r="P584" s="180"/>
      <c r="Q584" s="180"/>
      <c r="R584" s="180"/>
      <c r="S584" s="24"/>
      <c r="T584" s="182"/>
      <c r="U584" s="24"/>
      <c r="V584" s="32"/>
      <c r="W584" s="240"/>
      <c r="X584" s="64"/>
      <c r="Y584" s="75"/>
      <c r="Z584" s="64"/>
      <c r="AA584" s="64"/>
      <c r="AB584" s="25"/>
      <c r="AC584" s="23"/>
      <c r="AD584" s="23"/>
      <c r="AE584" s="23"/>
      <c r="AF584" s="335"/>
      <c r="AG584" s="336"/>
      <c r="AH584" s="334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</row>
    <row r="585" spans="1:346" s="26" customFormat="1" ht="12" hidden="1" customHeight="1" x14ac:dyDescent="0.25">
      <c r="A585" s="21"/>
      <c r="B585" s="21"/>
      <c r="C585" s="22"/>
      <c r="D585" s="353"/>
      <c r="E585" s="73"/>
      <c r="F585" s="7"/>
      <c r="G585" s="7"/>
      <c r="H585" s="7"/>
      <c r="I585" s="180"/>
      <c r="J585" s="180"/>
      <c r="K585" s="284"/>
      <c r="L585" s="193"/>
      <c r="M585" s="180"/>
      <c r="N585" s="180"/>
      <c r="O585" s="180"/>
      <c r="P585" s="180"/>
      <c r="Q585" s="180"/>
      <c r="R585" s="180"/>
      <c r="S585" s="24"/>
      <c r="T585" s="182"/>
      <c r="U585" s="24"/>
      <c r="V585" s="32"/>
      <c r="W585" s="240"/>
      <c r="X585" s="64"/>
      <c r="Y585" s="75"/>
      <c r="Z585" s="64"/>
      <c r="AA585" s="64"/>
      <c r="AB585" s="25"/>
      <c r="AC585" s="23"/>
      <c r="AD585" s="23"/>
      <c r="AE585" s="23"/>
      <c r="AF585" s="335"/>
      <c r="AG585" s="336"/>
      <c r="AH585" s="334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</row>
    <row r="586" spans="1:346" s="26" customFormat="1" ht="12" hidden="1" customHeight="1" x14ac:dyDescent="0.25">
      <c r="A586" s="21"/>
      <c r="B586" s="21"/>
      <c r="C586" s="22"/>
      <c r="D586" s="353"/>
      <c r="E586" s="73"/>
      <c r="F586" s="7"/>
      <c r="G586" s="7"/>
      <c r="H586" s="7"/>
      <c r="I586" s="180"/>
      <c r="J586" s="180"/>
      <c r="K586" s="284"/>
      <c r="L586" s="193"/>
      <c r="M586" s="180"/>
      <c r="N586" s="180"/>
      <c r="O586" s="180"/>
      <c r="P586" s="180"/>
      <c r="Q586" s="180"/>
      <c r="R586" s="180"/>
      <c r="S586" s="24"/>
      <c r="T586" s="182"/>
      <c r="U586" s="24"/>
      <c r="V586" s="32"/>
      <c r="W586" s="240"/>
      <c r="X586" s="64"/>
      <c r="Y586" s="75"/>
      <c r="Z586" s="64"/>
      <c r="AA586" s="64"/>
      <c r="AB586" s="25"/>
      <c r="AC586" s="23"/>
      <c r="AD586" s="23"/>
      <c r="AE586" s="23"/>
      <c r="AF586" s="335"/>
      <c r="AG586" s="336"/>
      <c r="AH586" s="334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</row>
    <row r="587" spans="1:346" s="26" customFormat="1" ht="12" hidden="1" customHeight="1" x14ac:dyDescent="0.25">
      <c r="A587" s="21"/>
      <c r="B587" s="21"/>
      <c r="C587" s="22"/>
      <c r="D587" s="353"/>
      <c r="E587" s="73"/>
      <c r="F587" s="7"/>
      <c r="G587" s="7"/>
      <c r="H587" s="7"/>
      <c r="I587" s="180"/>
      <c r="J587" s="180"/>
      <c r="K587" s="284"/>
      <c r="L587" s="193"/>
      <c r="M587" s="180"/>
      <c r="N587" s="180"/>
      <c r="O587" s="180"/>
      <c r="P587" s="180"/>
      <c r="Q587" s="180"/>
      <c r="R587" s="180"/>
      <c r="S587" s="24"/>
      <c r="T587" s="182"/>
      <c r="U587" s="24"/>
      <c r="V587" s="32"/>
      <c r="W587" s="240"/>
      <c r="X587" s="64"/>
      <c r="Y587" s="75"/>
      <c r="Z587" s="64"/>
      <c r="AA587" s="64"/>
      <c r="AB587" s="25"/>
      <c r="AC587" s="23"/>
      <c r="AD587" s="23"/>
      <c r="AE587" s="23"/>
      <c r="AF587" s="335"/>
      <c r="AG587" s="336"/>
      <c r="AH587" s="334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</row>
    <row r="588" spans="1:346" s="26" customFormat="1" ht="12" hidden="1" customHeight="1" x14ac:dyDescent="0.25">
      <c r="A588" s="21"/>
      <c r="B588" s="21"/>
      <c r="C588" s="22"/>
      <c r="D588" s="353"/>
      <c r="E588" s="73"/>
      <c r="F588" s="7"/>
      <c r="G588" s="7"/>
      <c r="H588" s="7"/>
      <c r="I588" s="180"/>
      <c r="J588" s="180"/>
      <c r="K588" s="284"/>
      <c r="L588" s="193"/>
      <c r="M588" s="180"/>
      <c r="N588" s="180"/>
      <c r="O588" s="180"/>
      <c r="P588" s="180"/>
      <c r="Q588" s="180"/>
      <c r="R588" s="180"/>
      <c r="S588" s="24"/>
      <c r="T588" s="182"/>
      <c r="U588" s="24"/>
      <c r="V588" s="32"/>
      <c r="W588" s="240"/>
      <c r="X588" s="64"/>
      <c r="Y588" s="75"/>
      <c r="Z588" s="64"/>
      <c r="AA588" s="64"/>
      <c r="AB588" s="25"/>
      <c r="AC588" s="23"/>
      <c r="AD588" s="23"/>
      <c r="AE588" s="23"/>
      <c r="AF588" s="335"/>
      <c r="AG588" s="336"/>
      <c r="AH588" s="334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</row>
    <row r="589" spans="1:346" s="26" customFormat="1" ht="12" hidden="1" customHeight="1" x14ac:dyDescent="0.25">
      <c r="A589" s="21"/>
      <c r="B589" s="21"/>
      <c r="C589" s="22"/>
      <c r="D589" s="353"/>
      <c r="E589" s="73"/>
      <c r="F589" s="7"/>
      <c r="G589" s="7"/>
      <c r="H589" s="7"/>
      <c r="I589" s="180"/>
      <c r="J589" s="180"/>
      <c r="K589" s="284"/>
      <c r="L589" s="193"/>
      <c r="M589" s="180"/>
      <c r="N589" s="180"/>
      <c r="O589" s="180"/>
      <c r="P589" s="180"/>
      <c r="Q589" s="180"/>
      <c r="R589" s="180"/>
      <c r="S589" s="24"/>
      <c r="T589" s="182"/>
      <c r="U589" s="24"/>
      <c r="V589" s="32"/>
      <c r="W589" s="240"/>
      <c r="X589" s="64"/>
      <c r="Y589" s="75"/>
      <c r="Z589" s="64"/>
      <c r="AA589" s="64"/>
      <c r="AB589" s="25"/>
      <c r="AC589" s="23"/>
      <c r="AD589" s="23"/>
      <c r="AE589" s="23"/>
      <c r="AF589" s="335"/>
      <c r="AG589" s="336"/>
      <c r="AH589" s="334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</row>
    <row r="590" spans="1:346" s="26" customFormat="1" ht="12" hidden="1" customHeight="1" x14ac:dyDescent="0.25">
      <c r="A590" s="21"/>
      <c r="B590" s="21"/>
      <c r="C590" s="22"/>
      <c r="D590" s="353"/>
      <c r="E590" s="73"/>
      <c r="F590" s="7"/>
      <c r="G590" s="7"/>
      <c r="H590" s="7"/>
      <c r="I590" s="180"/>
      <c r="J590" s="180"/>
      <c r="K590" s="284"/>
      <c r="L590" s="193"/>
      <c r="M590" s="180"/>
      <c r="N590" s="180"/>
      <c r="O590" s="180"/>
      <c r="P590" s="180"/>
      <c r="Q590" s="180"/>
      <c r="R590" s="180"/>
      <c r="S590" s="24"/>
      <c r="T590" s="182"/>
      <c r="U590" s="24"/>
      <c r="V590" s="32"/>
      <c r="W590" s="240"/>
      <c r="X590" s="64"/>
      <c r="Y590" s="75"/>
      <c r="Z590" s="64"/>
      <c r="AA590" s="64"/>
      <c r="AB590" s="25"/>
      <c r="AC590" s="23"/>
      <c r="AD590" s="23"/>
      <c r="AE590" s="23"/>
      <c r="AF590" s="335"/>
      <c r="AG590" s="336"/>
      <c r="AH590" s="334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</row>
    <row r="591" spans="1:346" s="26" customFormat="1" ht="12" hidden="1" customHeight="1" x14ac:dyDescent="0.25">
      <c r="A591" s="21"/>
      <c r="B591" s="21"/>
      <c r="C591" s="22"/>
      <c r="D591" s="353"/>
      <c r="E591" s="73"/>
      <c r="F591" s="7"/>
      <c r="G591" s="7"/>
      <c r="H591" s="7"/>
      <c r="I591" s="180"/>
      <c r="J591" s="180"/>
      <c r="K591" s="284"/>
      <c r="L591" s="193"/>
      <c r="M591" s="180"/>
      <c r="N591" s="180"/>
      <c r="O591" s="180"/>
      <c r="P591" s="180"/>
      <c r="Q591" s="180"/>
      <c r="R591" s="180"/>
      <c r="S591" s="24"/>
      <c r="T591" s="182"/>
      <c r="U591" s="24"/>
      <c r="V591" s="32"/>
      <c r="W591" s="240"/>
      <c r="X591" s="64"/>
      <c r="Y591" s="75"/>
      <c r="Z591" s="64"/>
      <c r="AA591" s="64"/>
      <c r="AB591" s="25"/>
      <c r="AC591" s="23"/>
      <c r="AD591" s="23"/>
      <c r="AE591" s="23"/>
      <c r="AF591" s="335"/>
      <c r="AG591" s="336"/>
      <c r="AH591" s="334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</row>
    <row r="592" spans="1:346" s="26" customFormat="1" ht="12" hidden="1" customHeight="1" x14ac:dyDescent="0.25">
      <c r="A592" s="21"/>
      <c r="B592" s="21"/>
      <c r="C592" s="22"/>
      <c r="D592" s="353"/>
      <c r="E592" s="73"/>
      <c r="F592" s="7"/>
      <c r="G592" s="7"/>
      <c r="H592" s="7"/>
      <c r="I592" s="180"/>
      <c r="J592" s="180"/>
      <c r="K592" s="284"/>
      <c r="L592" s="193"/>
      <c r="M592" s="180"/>
      <c r="N592" s="180"/>
      <c r="O592" s="180"/>
      <c r="P592" s="180"/>
      <c r="Q592" s="180"/>
      <c r="R592" s="180"/>
      <c r="S592" s="24"/>
      <c r="T592" s="182"/>
      <c r="U592" s="24"/>
      <c r="V592" s="32"/>
      <c r="W592" s="240"/>
      <c r="X592" s="64"/>
      <c r="Y592" s="75"/>
      <c r="Z592" s="64"/>
      <c r="AA592" s="64"/>
      <c r="AB592" s="25"/>
      <c r="AC592" s="23"/>
      <c r="AD592" s="23"/>
      <c r="AE592" s="23"/>
      <c r="AF592" s="335"/>
      <c r="AG592" s="336"/>
      <c r="AH592" s="334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</row>
    <row r="593" spans="1:346" s="26" customFormat="1" ht="12" hidden="1" customHeight="1" x14ac:dyDescent="0.25">
      <c r="A593" s="21"/>
      <c r="B593" s="21"/>
      <c r="C593" s="22"/>
      <c r="D593" s="353"/>
      <c r="E593" s="73"/>
      <c r="F593" s="7"/>
      <c r="G593" s="7"/>
      <c r="H593" s="7"/>
      <c r="I593" s="180"/>
      <c r="J593" s="180"/>
      <c r="K593" s="284"/>
      <c r="L593" s="193"/>
      <c r="M593" s="180"/>
      <c r="N593" s="180"/>
      <c r="O593" s="180"/>
      <c r="P593" s="180"/>
      <c r="Q593" s="180"/>
      <c r="R593" s="180"/>
      <c r="S593" s="24"/>
      <c r="T593" s="182"/>
      <c r="U593" s="24"/>
      <c r="V593" s="32"/>
      <c r="W593" s="240"/>
      <c r="X593" s="64"/>
      <c r="Y593" s="75"/>
      <c r="Z593" s="64"/>
      <c r="AA593" s="64"/>
      <c r="AB593" s="25"/>
      <c r="AC593" s="23"/>
      <c r="AD593" s="23"/>
      <c r="AE593" s="23"/>
      <c r="AF593" s="335"/>
      <c r="AG593" s="336"/>
      <c r="AH593" s="334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</row>
    <row r="594" spans="1:346" s="26" customFormat="1" ht="12" hidden="1" customHeight="1" x14ac:dyDescent="0.25">
      <c r="A594" s="21"/>
      <c r="B594" s="21"/>
      <c r="C594" s="22"/>
      <c r="D594" s="353"/>
      <c r="E594" s="73"/>
      <c r="F594" s="7"/>
      <c r="G594" s="7"/>
      <c r="H594" s="7"/>
      <c r="I594" s="180"/>
      <c r="J594" s="180"/>
      <c r="K594" s="284"/>
      <c r="L594" s="193"/>
      <c r="M594" s="180"/>
      <c r="N594" s="180"/>
      <c r="O594" s="180"/>
      <c r="P594" s="180"/>
      <c r="Q594" s="180"/>
      <c r="R594" s="180"/>
      <c r="S594" s="24"/>
      <c r="T594" s="182"/>
      <c r="U594" s="24"/>
      <c r="V594" s="32"/>
      <c r="W594" s="240"/>
      <c r="X594" s="64"/>
      <c r="Y594" s="75"/>
      <c r="Z594" s="64"/>
      <c r="AA594" s="64"/>
      <c r="AB594" s="25"/>
      <c r="AC594" s="23"/>
      <c r="AD594" s="23"/>
      <c r="AE594" s="23"/>
      <c r="AF594" s="335"/>
      <c r="AG594" s="336"/>
      <c r="AH594" s="334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</row>
    <row r="595" spans="1:346" s="26" customFormat="1" ht="12" hidden="1" customHeight="1" x14ac:dyDescent="0.25">
      <c r="A595" s="21"/>
      <c r="B595" s="21"/>
      <c r="C595" s="22"/>
      <c r="D595" s="353"/>
      <c r="E595" s="73"/>
      <c r="F595" s="7"/>
      <c r="G595" s="7"/>
      <c r="H595" s="7"/>
      <c r="I595" s="180"/>
      <c r="J595" s="180"/>
      <c r="K595" s="284"/>
      <c r="L595" s="193"/>
      <c r="M595" s="180"/>
      <c r="N595" s="180"/>
      <c r="O595" s="180"/>
      <c r="P595" s="180"/>
      <c r="Q595" s="180"/>
      <c r="R595" s="180"/>
      <c r="S595" s="24"/>
      <c r="T595" s="182"/>
      <c r="U595" s="24"/>
      <c r="V595" s="32"/>
      <c r="W595" s="240"/>
      <c r="X595" s="64"/>
      <c r="Y595" s="75"/>
      <c r="Z595" s="64"/>
      <c r="AA595" s="64"/>
      <c r="AB595" s="25"/>
      <c r="AC595" s="23"/>
      <c r="AD595" s="23"/>
      <c r="AE595" s="23"/>
      <c r="AF595" s="335"/>
      <c r="AG595" s="336"/>
      <c r="AH595" s="334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</row>
    <row r="596" spans="1:346" s="26" customFormat="1" ht="12" hidden="1" customHeight="1" x14ac:dyDescent="0.25">
      <c r="A596" s="21"/>
      <c r="B596" s="21"/>
      <c r="C596" s="22"/>
      <c r="D596" s="353"/>
      <c r="E596" s="73"/>
      <c r="F596" s="7"/>
      <c r="G596" s="7"/>
      <c r="H596" s="7"/>
      <c r="I596" s="180"/>
      <c r="J596" s="180"/>
      <c r="K596" s="284"/>
      <c r="L596" s="193"/>
      <c r="M596" s="180"/>
      <c r="N596" s="180"/>
      <c r="O596" s="180"/>
      <c r="P596" s="180"/>
      <c r="Q596" s="180"/>
      <c r="R596" s="180"/>
      <c r="S596" s="24"/>
      <c r="T596" s="182"/>
      <c r="U596" s="24"/>
      <c r="V596" s="32"/>
      <c r="W596" s="240"/>
      <c r="X596" s="64"/>
      <c r="Y596" s="75"/>
      <c r="Z596" s="64"/>
      <c r="AA596" s="64"/>
      <c r="AB596" s="25"/>
      <c r="AC596" s="23"/>
      <c r="AD596" s="23"/>
      <c r="AE596" s="23"/>
      <c r="AF596" s="335"/>
      <c r="AG596" s="336"/>
      <c r="AH596" s="334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</row>
    <row r="597" spans="1:346" s="26" customFormat="1" ht="12" hidden="1" customHeight="1" x14ac:dyDescent="0.25">
      <c r="A597" s="21"/>
      <c r="B597" s="21"/>
      <c r="C597" s="22"/>
      <c r="D597" s="353"/>
      <c r="E597" s="73"/>
      <c r="F597" s="7"/>
      <c r="G597" s="7"/>
      <c r="H597" s="7"/>
      <c r="I597" s="180"/>
      <c r="J597" s="180"/>
      <c r="K597" s="284"/>
      <c r="L597" s="193"/>
      <c r="M597" s="180"/>
      <c r="N597" s="180"/>
      <c r="O597" s="180"/>
      <c r="P597" s="180"/>
      <c r="Q597" s="180"/>
      <c r="R597" s="180"/>
      <c r="S597" s="24"/>
      <c r="T597" s="182"/>
      <c r="U597" s="24"/>
      <c r="V597" s="32"/>
      <c r="W597" s="240"/>
      <c r="X597" s="64"/>
      <c r="Y597" s="75"/>
      <c r="Z597" s="64"/>
      <c r="AA597" s="64"/>
      <c r="AB597" s="25"/>
      <c r="AC597" s="23"/>
      <c r="AD597" s="23"/>
      <c r="AE597" s="23"/>
      <c r="AF597" s="335"/>
      <c r="AG597" s="336"/>
      <c r="AH597" s="334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</row>
    <row r="598" spans="1:346" s="26" customFormat="1" ht="12" hidden="1" customHeight="1" x14ac:dyDescent="0.25">
      <c r="A598" s="21"/>
      <c r="B598" s="21"/>
      <c r="C598" s="22"/>
      <c r="D598" s="353"/>
      <c r="E598" s="73"/>
      <c r="F598" s="7"/>
      <c r="G598" s="7"/>
      <c r="H598" s="7"/>
      <c r="I598" s="180"/>
      <c r="J598" s="180"/>
      <c r="K598" s="284"/>
      <c r="L598" s="193"/>
      <c r="M598" s="180"/>
      <c r="N598" s="180"/>
      <c r="O598" s="180"/>
      <c r="P598" s="180"/>
      <c r="Q598" s="180"/>
      <c r="R598" s="180"/>
      <c r="S598" s="24"/>
      <c r="T598" s="182"/>
      <c r="U598" s="24"/>
      <c r="V598" s="32"/>
      <c r="W598" s="240"/>
      <c r="X598" s="64"/>
      <c r="Y598" s="75"/>
      <c r="Z598" s="64"/>
      <c r="AA598" s="64"/>
      <c r="AB598" s="25"/>
      <c r="AC598" s="23"/>
      <c r="AD598" s="23"/>
      <c r="AE598" s="23"/>
      <c r="AF598" s="335"/>
      <c r="AG598" s="336"/>
      <c r="AH598" s="334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</row>
    <row r="599" spans="1:346" s="26" customFormat="1" ht="12" hidden="1" customHeight="1" x14ac:dyDescent="0.25">
      <c r="A599" s="21"/>
      <c r="B599" s="21"/>
      <c r="C599" s="22"/>
      <c r="D599" s="353"/>
      <c r="E599" s="73"/>
      <c r="F599" s="7"/>
      <c r="G599" s="7"/>
      <c r="H599" s="7"/>
      <c r="I599" s="180"/>
      <c r="J599" s="180"/>
      <c r="K599" s="284"/>
      <c r="L599" s="193"/>
      <c r="M599" s="180"/>
      <c r="N599" s="180"/>
      <c r="O599" s="180"/>
      <c r="P599" s="180"/>
      <c r="Q599" s="180"/>
      <c r="R599" s="180"/>
      <c r="S599" s="24"/>
      <c r="T599" s="182"/>
      <c r="U599" s="24"/>
      <c r="V599" s="32"/>
      <c r="W599" s="240"/>
      <c r="X599" s="64"/>
      <c r="Y599" s="75"/>
      <c r="Z599" s="64"/>
      <c r="AA599" s="64"/>
      <c r="AB599" s="25"/>
      <c r="AC599" s="23"/>
      <c r="AD599" s="23"/>
      <c r="AE599" s="23"/>
      <c r="AF599" s="335"/>
      <c r="AG599" s="336"/>
      <c r="AH599" s="334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</row>
    <row r="600" spans="1:346" s="26" customFormat="1" ht="12" hidden="1" customHeight="1" x14ac:dyDescent="0.25">
      <c r="A600" s="21"/>
      <c r="B600" s="21"/>
      <c r="C600" s="22"/>
      <c r="D600" s="353"/>
      <c r="E600" s="73"/>
      <c r="F600" s="7"/>
      <c r="G600" s="7"/>
      <c r="H600" s="7"/>
      <c r="I600" s="180"/>
      <c r="J600" s="180"/>
      <c r="K600" s="284"/>
      <c r="L600" s="193"/>
      <c r="M600" s="180"/>
      <c r="N600" s="180"/>
      <c r="O600" s="180"/>
      <c r="P600" s="180"/>
      <c r="Q600" s="180"/>
      <c r="R600" s="180"/>
      <c r="S600" s="24"/>
      <c r="T600" s="182"/>
      <c r="U600" s="24"/>
      <c r="V600" s="32"/>
      <c r="W600" s="240"/>
      <c r="X600" s="64"/>
      <c r="Y600" s="75"/>
      <c r="Z600" s="64"/>
      <c r="AA600" s="64"/>
      <c r="AB600" s="25"/>
      <c r="AC600" s="23"/>
      <c r="AD600" s="23"/>
      <c r="AE600" s="23"/>
      <c r="AF600" s="335"/>
      <c r="AG600" s="336"/>
      <c r="AH600" s="334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</row>
    <row r="601" spans="1:346" s="26" customFormat="1" ht="12" hidden="1" customHeight="1" x14ac:dyDescent="0.25">
      <c r="A601" s="21"/>
      <c r="B601" s="21"/>
      <c r="C601" s="22"/>
      <c r="D601" s="353"/>
      <c r="E601" s="73"/>
      <c r="F601" s="7"/>
      <c r="G601" s="7"/>
      <c r="H601" s="7"/>
      <c r="I601" s="180"/>
      <c r="J601" s="180"/>
      <c r="K601" s="284"/>
      <c r="L601" s="193"/>
      <c r="M601" s="180"/>
      <c r="N601" s="180"/>
      <c r="O601" s="180"/>
      <c r="P601" s="180"/>
      <c r="Q601" s="180"/>
      <c r="R601" s="180"/>
      <c r="S601" s="24"/>
      <c r="T601" s="182"/>
      <c r="U601" s="24"/>
      <c r="V601" s="32"/>
      <c r="W601" s="240"/>
      <c r="X601" s="64"/>
      <c r="Y601" s="75"/>
      <c r="Z601" s="64"/>
      <c r="AA601" s="64"/>
      <c r="AB601" s="25"/>
      <c r="AC601" s="23"/>
      <c r="AD601" s="23"/>
      <c r="AE601" s="23"/>
      <c r="AF601" s="335"/>
      <c r="AG601" s="336"/>
      <c r="AH601" s="334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</row>
    <row r="602" spans="1:346" s="26" customFormat="1" ht="12" hidden="1" customHeight="1" x14ac:dyDescent="0.25">
      <c r="A602" s="21"/>
      <c r="B602" s="21"/>
      <c r="C602" s="22"/>
      <c r="D602" s="353"/>
      <c r="E602" s="73"/>
      <c r="F602" s="7"/>
      <c r="G602" s="7"/>
      <c r="H602" s="7"/>
      <c r="I602" s="180"/>
      <c r="J602" s="180"/>
      <c r="K602" s="284"/>
      <c r="L602" s="193"/>
      <c r="M602" s="180"/>
      <c r="N602" s="180"/>
      <c r="O602" s="180"/>
      <c r="P602" s="180"/>
      <c r="Q602" s="180"/>
      <c r="R602" s="180"/>
      <c r="S602" s="24"/>
      <c r="T602" s="182"/>
      <c r="U602" s="24"/>
      <c r="V602" s="32"/>
      <c r="W602" s="240"/>
      <c r="X602" s="64"/>
      <c r="Y602" s="75"/>
      <c r="Z602" s="64"/>
      <c r="AA602" s="64"/>
      <c r="AB602" s="25"/>
      <c r="AC602" s="23"/>
      <c r="AD602" s="23"/>
      <c r="AE602" s="23"/>
      <c r="AF602" s="335"/>
      <c r="AG602" s="336"/>
      <c r="AH602" s="334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</row>
    <row r="603" spans="1:346" s="26" customFormat="1" ht="12" hidden="1" customHeight="1" x14ac:dyDescent="0.25">
      <c r="A603" s="21"/>
      <c r="B603" s="21"/>
      <c r="C603" s="22"/>
      <c r="D603" s="353"/>
      <c r="E603" s="73"/>
      <c r="F603" s="7"/>
      <c r="G603" s="7"/>
      <c r="H603" s="7"/>
      <c r="I603" s="180"/>
      <c r="J603" s="180"/>
      <c r="K603" s="284"/>
      <c r="L603" s="193"/>
      <c r="M603" s="180"/>
      <c r="N603" s="180"/>
      <c r="O603" s="180"/>
      <c r="P603" s="180"/>
      <c r="Q603" s="180"/>
      <c r="R603" s="180"/>
      <c r="S603" s="24"/>
      <c r="T603" s="182"/>
      <c r="U603" s="24"/>
      <c r="V603" s="32"/>
      <c r="W603" s="240"/>
      <c r="X603" s="64"/>
      <c r="Y603" s="75"/>
      <c r="Z603" s="64"/>
      <c r="AA603" s="64"/>
      <c r="AB603" s="25"/>
      <c r="AC603" s="23"/>
      <c r="AD603" s="23"/>
      <c r="AE603" s="23"/>
      <c r="AF603" s="335"/>
      <c r="AG603" s="336"/>
      <c r="AH603" s="334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</row>
    <row r="604" spans="1:346" s="26" customFormat="1" ht="12" hidden="1" customHeight="1" x14ac:dyDescent="0.25">
      <c r="A604" s="21"/>
      <c r="B604" s="21"/>
      <c r="C604" s="22"/>
      <c r="D604" s="353"/>
      <c r="E604" s="73"/>
      <c r="F604" s="7"/>
      <c r="G604" s="7"/>
      <c r="H604" s="7"/>
      <c r="I604" s="180"/>
      <c r="J604" s="180"/>
      <c r="K604" s="284"/>
      <c r="L604" s="193"/>
      <c r="M604" s="180"/>
      <c r="N604" s="180"/>
      <c r="O604" s="180"/>
      <c r="P604" s="180"/>
      <c r="Q604" s="180"/>
      <c r="R604" s="180"/>
      <c r="S604" s="24"/>
      <c r="T604" s="182"/>
      <c r="U604" s="24"/>
      <c r="V604" s="32"/>
      <c r="W604" s="240"/>
      <c r="X604" s="64"/>
      <c r="Y604" s="75"/>
      <c r="Z604" s="64"/>
      <c r="AA604" s="64"/>
      <c r="AB604" s="25"/>
      <c r="AC604" s="23"/>
      <c r="AD604" s="23"/>
      <c r="AE604" s="23"/>
      <c r="AF604" s="335"/>
      <c r="AG604" s="336"/>
      <c r="AH604" s="334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</row>
    <row r="605" spans="1:346" s="26" customFormat="1" ht="12" hidden="1" customHeight="1" x14ac:dyDescent="0.25">
      <c r="A605" s="21"/>
      <c r="B605" s="21"/>
      <c r="C605" s="22"/>
      <c r="D605" s="353"/>
      <c r="E605" s="73"/>
      <c r="F605" s="7"/>
      <c r="G605" s="7"/>
      <c r="H605" s="7"/>
      <c r="I605" s="180"/>
      <c r="J605" s="180"/>
      <c r="K605" s="284"/>
      <c r="L605" s="193"/>
      <c r="M605" s="180"/>
      <c r="N605" s="180"/>
      <c r="O605" s="180"/>
      <c r="P605" s="180"/>
      <c r="Q605" s="180"/>
      <c r="R605" s="180"/>
      <c r="S605" s="24"/>
      <c r="T605" s="182"/>
      <c r="U605" s="24"/>
      <c r="V605" s="32"/>
      <c r="W605" s="240"/>
      <c r="X605" s="64"/>
      <c r="Y605" s="75"/>
      <c r="Z605" s="64"/>
      <c r="AA605" s="64"/>
      <c r="AB605" s="25"/>
      <c r="AC605" s="23"/>
      <c r="AD605" s="23"/>
      <c r="AE605" s="23"/>
      <c r="AF605" s="335"/>
      <c r="AG605" s="336"/>
      <c r="AH605" s="334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</row>
    <row r="606" spans="1:346" s="26" customFormat="1" ht="12" hidden="1" customHeight="1" x14ac:dyDescent="0.25">
      <c r="A606" s="21"/>
      <c r="B606" s="21"/>
      <c r="C606" s="22"/>
      <c r="D606" s="353"/>
      <c r="E606" s="73"/>
      <c r="F606" s="7"/>
      <c r="G606" s="7"/>
      <c r="H606" s="7"/>
      <c r="I606" s="180"/>
      <c r="J606" s="180"/>
      <c r="K606" s="284"/>
      <c r="L606" s="193"/>
      <c r="M606" s="180"/>
      <c r="N606" s="180"/>
      <c r="O606" s="180"/>
      <c r="P606" s="180"/>
      <c r="Q606" s="180"/>
      <c r="R606" s="180"/>
      <c r="S606" s="24"/>
      <c r="T606" s="182"/>
      <c r="U606" s="24"/>
      <c r="V606" s="32"/>
      <c r="W606" s="240"/>
      <c r="X606" s="64"/>
      <c r="Y606" s="75"/>
      <c r="Z606" s="64"/>
      <c r="AA606" s="64"/>
      <c r="AB606" s="25"/>
      <c r="AC606" s="23"/>
      <c r="AD606" s="23"/>
      <c r="AE606" s="23"/>
      <c r="AF606" s="335"/>
      <c r="AG606" s="336"/>
      <c r="AH606" s="334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</row>
    <row r="607" spans="1:346" s="26" customFormat="1" ht="12" hidden="1" customHeight="1" x14ac:dyDescent="0.25">
      <c r="A607" s="21"/>
      <c r="B607" s="21"/>
      <c r="C607" s="22"/>
      <c r="D607" s="353"/>
      <c r="E607" s="73"/>
      <c r="F607" s="7"/>
      <c r="G607" s="7"/>
      <c r="H607" s="7"/>
      <c r="I607" s="180"/>
      <c r="J607" s="180"/>
      <c r="K607" s="284"/>
      <c r="L607" s="193"/>
      <c r="M607" s="180"/>
      <c r="N607" s="180"/>
      <c r="O607" s="180"/>
      <c r="P607" s="180"/>
      <c r="Q607" s="180"/>
      <c r="R607" s="180"/>
      <c r="S607" s="24"/>
      <c r="T607" s="182"/>
      <c r="U607" s="24"/>
      <c r="V607" s="32"/>
      <c r="W607" s="240"/>
      <c r="X607" s="64"/>
      <c r="Y607" s="75"/>
      <c r="Z607" s="64"/>
      <c r="AA607" s="64"/>
      <c r="AB607" s="25"/>
      <c r="AC607" s="23"/>
      <c r="AD607" s="23"/>
      <c r="AE607" s="23"/>
      <c r="AF607" s="335"/>
      <c r="AG607" s="336"/>
      <c r="AH607" s="334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</row>
    <row r="608" spans="1:346" s="26" customFormat="1" ht="12" hidden="1" customHeight="1" x14ac:dyDescent="0.25">
      <c r="A608" s="21"/>
      <c r="B608" s="21"/>
      <c r="C608" s="22"/>
      <c r="D608" s="353"/>
      <c r="E608" s="73"/>
      <c r="F608" s="7"/>
      <c r="G608" s="7"/>
      <c r="H608" s="7"/>
      <c r="I608" s="180"/>
      <c r="J608" s="180"/>
      <c r="K608" s="284"/>
      <c r="L608" s="193"/>
      <c r="M608" s="180"/>
      <c r="N608" s="180"/>
      <c r="O608" s="180"/>
      <c r="P608" s="180"/>
      <c r="Q608" s="180"/>
      <c r="R608" s="180"/>
      <c r="S608" s="24"/>
      <c r="T608" s="182"/>
      <c r="U608" s="24"/>
      <c r="V608" s="32"/>
      <c r="W608" s="240"/>
      <c r="X608" s="64"/>
      <c r="Y608" s="75"/>
      <c r="Z608" s="64"/>
      <c r="AA608" s="64"/>
      <c r="AB608" s="25"/>
      <c r="AC608" s="23"/>
      <c r="AD608" s="23"/>
      <c r="AE608" s="23"/>
      <c r="AF608" s="335"/>
      <c r="AG608" s="336"/>
      <c r="AH608" s="334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</row>
    <row r="609" spans="1:346" s="26" customFormat="1" ht="12" hidden="1" customHeight="1" x14ac:dyDescent="0.25">
      <c r="A609" s="21"/>
      <c r="B609" s="21"/>
      <c r="C609" s="22"/>
      <c r="D609" s="353"/>
      <c r="E609" s="73"/>
      <c r="F609" s="7"/>
      <c r="G609" s="7"/>
      <c r="H609" s="7"/>
      <c r="I609" s="180"/>
      <c r="J609" s="180"/>
      <c r="K609" s="284"/>
      <c r="L609" s="193"/>
      <c r="M609" s="180"/>
      <c r="N609" s="180"/>
      <c r="O609" s="180"/>
      <c r="P609" s="180"/>
      <c r="Q609" s="180"/>
      <c r="R609" s="180"/>
      <c r="S609" s="24"/>
      <c r="T609" s="182"/>
      <c r="U609" s="24"/>
      <c r="V609" s="32"/>
      <c r="W609" s="240"/>
      <c r="X609" s="64"/>
      <c r="Y609" s="75"/>
      <c r="Z609" s="64"/>
      <c r="AA609" s="64"/>
      <c r="AB609" s="25"/>
      <c r="AC609" s="23"/>
      <c r="AD609" s="23"/>
      <c r="AE609" s="23"/>
      <c r="AF609" s="335"/>
      <c r="AG609" s="336"/>
      <c r="AH609" s="334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</row>
    <row r="610" spans="1:346" s="26" customFormat="1" ht="12" hidden="1" customHeight="1" x14ac:dyDescent="0.25">
      <c r="A610" s="21"/>
      <c r="B610" s="21"/>
      <c r="C610" s="22"/>
      <c r="D610" s="353"/>
      <c r="E610" s="73"/>
      <c r="F610" s="7"/>
      <c r="G610" s="7"/>
      <c r="H610" s="7"/>
      <c r="I610" s="180"/>
      <c r="J610" s="180"/>
      <c r="K610" s="284"/>
      <c r="L610" s="193"/>
      <c r="M610" s="180"/>
      <c r="N610" s="180"/>
      <c r="O610" s="180"/>
      <c r="P610" s="180"/>
      <c r="Q610" s="180"/>
      <c r="R610" s="180"/>
      <c r="S610" s="24"/>
      <c r="T610" s="182"/>
      <c r="U610" s="24"/>
      <c r="V610" s="32"/>
      <c r="W610" s="240"/>
      <c r="X610" s="64"/>
      <c r="Y610" s="75"/>
      <c r="Z610" s="64"/>
      <c r="AA610" s="64"/>
      <c r="AB610" s="25"/>
      <c r="AC610" s="23"/>
      <c r="AD610" s="23"/>
      <c r="AE610" s="23"/>
      <c r="AF610" s="335"/>
      <c r="AG610" s="336"/>
      <c r="AH610" s="334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</row>
    <row r="611" spans="1:346" s="26" customFormat="1" ht="12" hidden="1" customHeight="1" x14ac:dyDescent="0.25">
      <c r="A611" s="21"/>
      <c r="B611" s="21"/>
      <c r="C611" s="22"/>
      <c r="D611" s="353"/>
      <c r="E611" s="73"/>
      <c r="F611" s="7"/>
      <c r="G611" s="7"/>
      <c r="H611" s="7"/>
      <c r="I611" s="180"/>
      <c r="J611" s="180"/>
      <c r="K611" s="284"/>
      <c r="L611" s="193"/>
      <c r="M611" s="180"/>
      <c r="N611" s="180"/>
      <c r="O611" s="180"/>
      <c r="P611" s="180"/>
      <c r="Q611" s="180"/>
      <c r="R611" s="180"/>
      <c r="S611" s="24"/>
      <c r="T611" s="182"/>
      <c r="U611" s="24"/>
      <c r="V611" s="32"/>
      <c r="W611" s="240"/>
      <c r="X611" s="64"/>
      <c r="Y611" s="75"/>
      <c r="Z611" s="64"/>
      <c r="AA611" s="64"/>
      <c r="AB611" s="25"/>
      <c r="AC611" s="23"/>
      <c r="AD611" s="23"/>
      <c r="AE611" s="23"/>
      <c r="AF611" s="335"/>
      <c r="AG611" s="336"/>
      <c r="AH611" s="334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</row>
    <row r="612" spans="1:346" s="26" customFormat="1" ht="12" hidden="1" customHeight="1" x14ac:dyDescent="0.25">
      <c r="A612" s="21"/>
      <c r="B612" s="21"/>
      <c r="C612" s="22"/>
      <c r="D612" s="353"/>
      <c r="E612" s="73"/>
      <c r="F612" s="7"/>
      <c r="G612" s="7"/>
      <c r="H612" s="7"/>
      <c r="I612" s="180"/>
      <c r="J612" s="180"/>
      <c r="K612" s="284"/>
      <c r="L612" s="193"/>
      <c r="M612" s="180"/>
      <c r="N612" s="180"/>
      <c r="O612" s="180"/>
      <c r="P612" s="180"/>
      <c r="Q612" s="180"/>
      <c r="R612" s="180"/>
      <c r="S612" s="24"/>
      <c r="T612" s="182"/>
      <c r="U612" s="24"/>
      <c r="V612" s="32"/>
      <c r="W612" s="240"/>
      <c r="X612" s="64"/>
      <c r="Y612" s="75"/>
      <c r="Z612" s="64"/>
      <c r="AA612" s="64"/>
      <c r="AB612" s="25"/>
      <c r="AC612" s="23"/>
      <c r="AD612" s="23"/>
      <c r="AE612" s="23"/>
      <c r="AF612" s="335"/>
      <c r="AG612" s="336"/>
      <c r="AH612" s="334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</row>
    <row r="613" spans="1:346" s="26" customFormat="1" ht="12" hidden="1" customHeight="1" x14ac:dyDescent="0.25">
      <c r="A613" s="21"/>
      <c r="B613" s="21"/>
      <c r="C613" s="22"/>
      <c r="D613" s="353"/>
      <c r="E613" s="73"/>
      <c r="F613" s="7"/>
      <c r="G613" s="7"/>
      <c r="H613" s="7"/>
      <c r="I613" s="180"/>
      <c r="J613" s="180"/>
      <c r="K613" s="284"/>
      <c r="L613" s="193"/>
      <c r="M613" s="180"/>
      <c r="N613" s="180"/>
      <c r="O613" s="180"/>
      <c r="P613" s="180"/>
      <c r="Q613" s="180"/>
      <c r="R613" s="180"/>
      <c r="S613" s="24"/>
      <c r="T613" s="182"/>
      <c r="U613" s="24"/>
      <c r="V613" s="32"/>
      <c r="W613" s="240"/>
      <c r="X613" s="64"/>
      <c r="Y613" s="75"/>
      <c r="Z613" s="64"/>
      <c r="AA613" s="64"/>
      <c r="AB613" s="25"/>
      <c r="AC613" s="23"/>
      <c r="AD613" s="23"/>
      <c r="AE613" s="23"/>
      <c r="AF613" s="335"/>
      <c r="AG613" s="336"/>
      <c r="AH613" s="334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</row>
    <row r="614" spans="1:346" s="26" customFormat="1" ht="12" hidden="1" customHeight="1" x14ac:dyDescent="0.25">
      <c r="A614" s="21"/>
      <c r="B614" s="21"/>
      <c r="C614" s="22"/>
      <c r="D614" s="353"/>
      <c r="E614" s="73"/>
      <c r="F614" s="7"/>
      <c r="G614" s="7"/>
      <c r="H614" s="7"/>
      <c r="I614" s="180"/>
      <c r="J614" s="180"/>
      <c r="K614" s="284"/>
      <c r="L614" s="193"/>
      <c r="M614" s="180"/>
      <c r="N614" s="180"/>
      <c r="O614" s="180"/>
      <c r="P614" s="180"/>
      <c r="Q614" s="180"/>
      <c r="R614" s="180"/>
      <c r="S614" s="24"/>
      <c r="T614" s="182"/>
      <c r="U614" s="24"/>
      <c r="V614" s="32"/>
      <c r="W614" s="240"/>
      <c r="X614" s="64"/>
      <c r="Y614" s="75"/>
      <c r="Z614" s="64"/>
      <c r="AA614" s="64"/>
      <c r="AB614" s="25"/>
      <c r="AC614" s="23"/>
      <c r="AD614" s="23"/>
      <c r="AE614" s="23"/>
      <c r="AF614" s="335"/>
      <c r="AG614" s="336"/>
      <c r="AH614" s="334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</row>
    <row r="615" spans="1:346" s="26" customFormat="1" ht="12" hidden="1" customHeight="1" x14ac:dyDescent="0.25">
      <c r="A615" s="21"/>
      <c r="B615" s="21"/>
      <c r="C615" s="22"/>
      <c r="D615" s="353"/>
      <c r="E615" s="73"/>
      <c r="F615" s="7"/>
      <c r="G615" s="7"/>
      <c r="H615" s="7"/>
      <c r="I615" s="180"/>
      <c r="J615" s="180"/>
      <c r="K615" s="284"/>
      <c r="L615" s="193"/>
      <c r="M615" s="180"/>
      <c r="N615" s="180"/>
      <c r="O615" s="180"/>
      <c r="P615" s="180"/>
      <c r="Q615" s="180"/>
      <c r="R615" s="180"/>
      <c r="S615" s="24"/>
      <c r="T615" s="182"/>
      <c r="U615" s="24"/>
      <c r="V615" s="32"/>
      <c r="W615" s="240"/>
      <c r="X615" s="64"/>
      <c r="Y615" s="75"/>
      <c r="Z615" s="64"/>
      <c r="AA615" s="64"/>
      <c r="AB615" s="25"/>
      <c r="AC615" s="23"/>
      <c r="AD615" s="23"/>
      <c r="AE615" s="23"/>
      <c r="AF615" s="335"/>
      <c r="AG615" s="336"/>
      <c r="AH615" s="334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</row>
    <row r="616" spans="1:346" s="26" customFormat="1" ht="12" hidden="1" customHeight="1" x14ac:dyDescent="0.25">
      <c r="A616" s="21"/>
      <c r="B616" s="21"/>
      <c r="C616" s="22"/>
      <c r="D616" s="353"/>
      <c r="E616" s="73"/>
      <c r="F616" s="7"/>
      <c r="G616" s="7"/>
      <c r="H616" s="7"/>
      <c r="I616" s="180"/>
      <c r="J616" s="180"/>
      <c r="K616" s="284"/>
      <c r="L616" s="193"/>
      <c r="M616" s="180"/>
      <c r="N616" s="180"/>
      <c r="O616" s="180"/>
      <c r="P616" s="180"/>
      <c r="Q616" s="180"/>
      <c r="R616" s="180"/>
      <c r="S616" s="24"/>
      <c r="T616" s="182"/>
      <c r="U616" s="24"/>
      <c r="V616" s="32"/>
      <c r="W616" s="240"/>
      <c r="X616" s="64"/>
      <c r="Y616" s="75"/>
      <c r="Z616" s="64"/>
      <c r="AA616" s="64"/>
      <c r="AB616" s="25"/>
      <c r="AC616" s="23"/>
      <c r="AD616" s="23"/>
      <c r="AE616" s="23"/>
      <c r="AF616" s="335"/>
      <c r="AG616" s="336"/>
      <c r="AH616" s="334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</row>
    <row r="617" spans="1:346" s="26" customFormat="1" ht="12" hidden="1" customHeight="1" x14ac:dyDescent="0.25">
      <c r="A617" s="21"/>
      <c r="B617" s="21"/>
      <c r="C617" s="22"/>
      <c r="D617" s="353"/>
      <c r="E617" s="73"/>
      <c r="F617" s="7"/>
      <c r="G617" s="7"/>
      <c r="H617" s="7"/>
      <c r="I617" s="180"/>
      <c r="J617" s="180"/>
      <c r="K617" s="284"/>
      <c r="L617" s="193"/>
      <c r="M617" s="180"/>
      <c r="N617" s="180"/>
      <c r="O617" s="180"/>
      <c r="P617" s="180"/>
      <c r="Q617" s="180"/>
      <c r="R617" s="180"/>
      <c r="S617" s="24"/>
      <c r="T617" s="182"/>
      <c r="U617" s="24"/>
      <c r="V617" s="32"/>
      <c r="W617" s="240"/>
      <c r="X617" s="64"/>
      <c r="Y617" s="75"/>
      <c r="Z617" s="64"/>
      <c r="AA617" s="64"/>
      <c r="AB617" s="25"/>
      <c r="AC617" s="23"/>
      <c r="AD617" s="23"/>
      <c r="AE617" s="23"/>
      <c r="AF617" s="335"/>
      <c r="AG617" s="336"/>
      <c r="AH617" s="334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</row>
    <row r="618" spans="1:346" s="26" customFormat="1" ht="12" hidden="1" customHeight="1" x14ac:dyDescent="0.25">
      <c r="A618" s="21"/>
      <c r="B618" s="21"/>
      <c r="C618" s="22"/>
      <c r="D618" s="353"/>
      <c r="E618" s="73"/>
      <c r="F618" s="7"/>
      <c r="G618" s="7"/>
      <c r="H618" s="7"/>
      <c r="I618" s="180"/>
      <c r="J618" s="180"/>
      <c r="K618" s="284"/>
      <c r="L618" s="193"/>
      <c r="M618" s="180"/>
      <c r="N618" s="180"/>
      <c r="O618" s="180"/>
      <c r="P618" s="180"/>
      <c r="Q618" s="180"/>
      <c r="R618" s="180"/>
      <c r="S618" s="24"/>
      <c r="T618" s="182"/>
      <c r="U618" s="24"/>
      <c r="V618" s="32"/>
      <c r="W618" s="240"/>
      <c r="X618" s="64"/>
      <c r="Y618" s="75"/>
      <c r="Z618" s="64"/>
      <c r="AA618" s="64"/>
      <c r="AB618" s="25"/>
      <c r="AC618" s="23"/>
      <c r="AD618" s="23"/>
      <c r="AE618" s="23"/>
      <c r="AF618" s="335"/>
      <c r="AG618" s="336"/>
      <c r="AH618" s="334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</row>
    <row r="619" spans="1:346" s="26" customFormat="1" ht="12" hidden="1" customHeight="1" x14ac:dyDescent="0.25">
      <c r="A619" s="21"/>
      <c r="B619" s="21"/>
      <c r="C619" s="22"/>
      <c r="D619" s="353"/>
      <c r="E619" s="73"/>
      <c r="F619" s="7"/>
      <c r="G619" s="7"/>
      <c r="H619" s="7"/>
      <c r="I619" s="180"/>
      <c r="J619" s="180"/>
      <c r="K619" s="284"/>
      <c r="L619" s="193"/>
      <c r="M619" s="180"/>
      <c r="N619" s="180"/>
      <c r="O619" s="180"/>
      <c r="P619" s="180"/>
      <c r="Q619" s="180"/>
      <c r="R619" s="180"/>
      <c r="S619" s="24"/>
      <c r="T619" s="182"/>
      <c r="U619" s="24"/>
      <c r="V619" s="32"/>
      <c r="W619" s="240"/>
      <c r="X619" s="64"/>
      <c r="Y619" s="75"/>
      <c r="Z619" s="64"/>
      <c r="AA619" s="64"/>
      <c r="AB619" s="25"/>
      <c r="AC619" s="23"/>
      <c r="AD619" s="23"/>
      <c r="AE619" s="23"/>
      <c r="AF619" s="335"/>
      <c r="AG619" s="336"/>
      <c r="AH619" s="334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</row>
    <row r="620" spans="1:346" s="26" customFormat="1" ht="12" hidden="1" customHeight="1" x14ac:dyDescent="0.25">
      <c r="A620" s="21"/>
      <c r="B620" s="21"/>
      <c r="C620" s="22"/>
      <c r="D620" s="353"/>
      <c r="E620" s="73"/>
      <c r="F620" s="7"/>
      <c r="G620" s="7"/>
      <c r="H620" s="7"/>
      <c r="I620" s="180"/>
      <c r="J620" s="180"/>
      <c r="K620" s="284"/>
      <c r="L620" s="193"/>
      <c r="M620" s="180"/>
      <c r="N620" s="180"/>
      <c r="O620" s="180"/>
      <c r="P620" s="180"/>
      <c r="Q620" s="180"/>
      <c r="R620" s="180"/>
      <c r="S620" s="24"/>
      <c r="T620" s="182"/>
      <c r="U620" s="24"/>
      <c r="V620" s="32"/>
      <c r="W620" s="240"/>
      <c r="X620" s="64"/>
      <c r="Y620" s="75"/>
      <c r="Z620" s="64"/>
      <c r="AA620" s="64"/>
      <c r="AB620" s="25"/>
      <c r="AC620" s="23"/>
      <c r="AD620" s="23"/>
      <c r="AE620" s="23"/>
      <c r="AF620" s="335"/>
      <c r="AG620" s="336"/>
      <c r="AH620" s="334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</row>
    <row r="621" spans="1:346" s="26" customFormat="1" ht="12" hidden="1" customHeight="1" x14ac:dyDescent="0.25">
      <c r="A621" s="21"/>
      <c r="B621" s="21"/>
      <c r="C621" s="22"/>
      <c r="D621" s="353"/>
      <c r="E621" s="73"/>
      <c r="F621" s="7"/>
      <c r="G621" s="7"/>
      <c r="H621" s="7"/>
      <c r="I621" s="180"/>
      <c r="J621" s="180"/>
      <c r="K621" s="284"/>
      <c r="L621" s="193"/>
      <c r="M621" s="180"/>
      <c r="N621" s="180"/>
      <c r="O621" s="180"/>
      <c r="P621" s="180"/>
      <c r="Q621" s="180"/>
      <c r="R621" s="180"/>
      <c r="S621" s="24"/>
      <c r="T621" s="182"/>
      <c r="U621" s="24"/>
      <c r="V621" s="32"/>
      <c r="W621" s="240"/>
      <c r="X621" s="64"/>
      <c r="Y621" s="75"/>
      <c r="Z621" s="64"/>
      <c r="AA621" s="64"/>
      <c r="AB621" s="25"/>
      <c r="AC621" s="23"/>
      <c r="AD621" s="23"/>
      <c r="AE621" s="23"/>
      <c r="AF621" s="335"/>
      <c r="AG621" s="336"/>
      <c r="AH621" s="334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</row>
    <row r="622" spans="1:346" s="26" customFormat="1" ht="12" hidden="1" customHeight="1" x14ac:dyDescent="0.25">
      <c r="A622" s="21"/>
      <c r="B622" s="21"/>
      <c r="C622" s="22"/>
      <c r="D622" s="353"/>
      <c r="E622" s="73"/>
      <c r="F622" s="7"/>
      <c r="G622" s="7"/>
      <c r="H622" s="7"/>
      <c r="I622" s="180"/>
      <c r="J622" s="180"/>
      <c r="K622" s="284"/>
      <c r="L622" s="193"/>
      <c r="M622" s="180"/>
      <c r="N622" s="180"/>
      <c r="O622" s="180"/>
      <c r="P622" s="180"/>
      <c r="Q622" s="180"/>
      <c r="R622" s="180"/>
      <c r="S622" s="24"/>
      <c r="T622" s="182"/>
      <c r="U622" s="24"/>
      <c r="V622" s="32"/>
      <c r="W622" s="240"/>
      <c r="X622" s="64"/>
      <c r="Y622" s="75"/>
      <c r="Z622" s="64"/>
      <c r="AA622" s="64"/>
      <c r="AB622" s="25"/>
      <c r="AC622" s="23"/>
      <c r="AD622" s="23"/>
      <c r="AE622" s="23"/>
      <c r="AF622" s="335"/>
      <c r="AG622" s="336"/>
      <c r="AH622" s="334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</row>
    <row r="623" spans="1:346" s="26" customFormat="1" ht="12" hidden="1" customHeight="1" x14ac:dyDescent="0.25">
      <c r="A623" s="21"/>
      <c r="B623" s="21"/>
      <c r="C623" s="22"/>
      <c r="D623" s="353"/>
      <c r="E623" s="73"/>
      <c r="F623" s="7"/>
      <c r="G623" s="7"/>
      <c r="H623" s="7"/>
      <c r="I623" s="180"/>
      <c r="J623" s="180"/>
      <c r="K623" s="284"/>
      <c r="L623" s="193"/>
      <c r="M623" s="180"/>
      <c r="N623" s="180"/>
      <c r="O623" s="180"/>
      <c r="P623" s="180"/>
      <c r="Q623" s="180"/>
      <c r="R623" s="180"/>
      <c r="S623" s="24"/>
      <c r="T623" s="182"/>
      <c r="U623" s="24"/>
      <c r="V623" s="32"/>
      <c r="W623" s="240"/>
      <c r="X623" s="64"/>
      <c r="Y623" s="75"/>
      <c r="Z623" s="64"/>
      <c r="AA623" s="64"/>
      <c r="AB623" s="25"/>
      <c r="AC623" s="23"/>
      <c r="AD623" s="23"/>
      <c r="AE623" s="23"/>
      <c r="AF623" s="335"/>
      <c r="AG623" s="336"/>
      <c r="AH623" s="334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</row>
    <row r="624" spans="1:346" s="26" customFormat="1" ht="12" hidden="1" customHeight="1" x14ac:dyDescent="0.25">
      <c r="A624" s="21"/>
      <c r="B624" s="21"/>
      <c r="C624" s="22"/>
      <c r="D624" s="353"/>
      <c r="E624" s="73"/>
      <c r="F624" s="7"/>
      <c r="G624" s="7"/>
      <c r="H624" s="7"/>
      <c r="I624" s="180"/>
      <c r="J624" s="180"/>
      <c r="K624" s="284"/>
      <c r="L624" s="193"/>
      <c r="M624" s="180"/>
      <c r="N624" s="180"/>
      <c r="O624" s="180"/>
      <c r="P624" s="180"/>
      <c r="Q624" s="180"/>
      <c r="R624" s="180"/>
      <c r="S624" s="24"/>
      <c r="T624" s="182"/>
      <c r="U624" s="24"/>
      <c r="V624" s="32"/>
      <c r="W624" s="240"/>
      <c r="X624" s="64"/>
      <c r="Y624" s="75"/>
      <c r="Z624" s="64"/>
      <c r="AA624" s="64"/>
      <c r="AB624" s="25"/>
      <c r="AC624" s="23"/>
      <c r="AD624" s="23"/>
      <c r="AE624" s="23"/>
      <c r="AF624" s="335"/>
      <c r="AG624" s="336"/>
      <c r="AH624" s="334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</row>
    <row r="625" spans="1:346" s="26" customFormat="1" ht="12" hidden="1" customHeight="1" x14ac:dyDescent="0.25">
      <c r="A625" s="21"/>
      <c r="B625" s="21"/>
      <c r="C625" s="22"/>
      <c r="D625" s="353"/>
      <c r="E625" s="73"/>
      <c r="F625" s="7"/>
      <c r="G625" s="7"/>
      <c r="H625" s="7"/>
      <c r="I625" s="180"/>
      <c r="J625" s="180"/>
      <c r="K625" s="284"/>
      <c r="L625" s="193"/>
      <c r="M625" s="180"/>
      <c r="N625" s="180"/>
      <c r="O625" s="180"/>
      <c r="P625" s="180"/>
      <c r="Q625" s="180"/>
      <c r="R625" s="180"/>
      <c r="S625" s="24"/>
      <c r="T625" s="182"/>
      <c r="U625" s="24"/>
      <c r="V625" s="32"/>
      <c r="W625" s="240"/>
      <c r="X625" s="64"/>
      <c r="Y625" s="75"/>
      <c r="Z625" s="64"/>
      <c r="AA625" s="64"/>
      <c r="AB625" s="25"/>
      <c r="AC625" s="23"/>
      <c r="AD625" s="23"/>
      <c r="AE625" s="23"/>
      <c r="AF625" s="335"/>
      <c r="AG625" s="336"/>
      <c r="AH625" s="334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</row>
    <row r="626" spans="1:346" s="26" customFormat="1" ht="12" hidden="1" customHeight="1" x14ac:dyDescent="0.25">
      <c r="A626" s="21"/>
      <c r="B626" s="21"/>
      <c r="C626" s="22"/>
      <c r="D626" s="353"/>
      <c r="E626" s="73"/>
      <c r="F626" s="7"/>
      <c r="G626" s="7"/>
      <c r="H626" s="7"/>
      <c r="I626" s="180"/>
      <c r="J626" s="180"/>
      <c r="K626" s="284"/>
      <c r="L626" s="193"/>
      <c r="M626" s="180"/>
      <c r="N626" s="180"/>
      <c r="O626" s="180"/>
      <c r="P626" s="180"/>
      <c r="Q626" s="180"/>
      <c r="R626" s="180"/>
      <c r="S626" s="24"/>
      <c r="T626" s="182"/>
      <c r="U626" s="24"/>
      <c r="V626" s="32"/>
      <c r="W626" s="240"/>
      <c r="X626" s="64"/>
      <c r="Y626" s="75"/>
      <c r="Z626" s="64"/>
      <c r="AA626" s="64"/>
      <c r="AB626" s="25"/>
      <c r="AC626" s="23"/>
      <c r="AD626" s="23"/>
      <c r="AE626" s="23"/>
      <c r="AF626" s="335"/>
      <c r="AG626" s="336"/>
      <c r="AH626" s="334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</row>
    <row r="627" spans="1:346" s="26" customFormat="1" ht="12" hidden="1" customHeight="1" x14ac:dyDescent="0.25">
      <c r="A627" s="21"/>
      <c r="B627" s="21"/>
      <c r="C627" s="22"/>
      <c r="D627" s="353"/>
      <c r="E627" s="73"/>
      <c r="F627" s="7"/>
      <c r="G627" s="7"/>
      <c r="H627" s="7"/>
      <c r="I627" s="180"/>
      <c r="J627" s="180"/>
      <c r="K627" s="284"/>
      <c r="L627" s="193"/>
      <c r="M627" s="180"/>
      <c r="N627" s="180"/>
      <c r="O627" s="180"/>
      <c r="P627" s="180"/>
      <c r="Q627" s="180"/>
      <c r="R627" s="180"/>
      <c r="S627" s="24"/>
      <c r="T627" s="182"/>
      <c r="U627" s="24"/>
      <c r="V627" s="32"/>
      <c r="W627" s="240"/>
      <c r="X627" s="64"/>
      <c r="Y627" s="75"/>
      <c r="Z627" s="64"/>
      <c r="AA627" s="64"/>
      <c r="AB627" s="25"/>
      <c r="AC627" s="23"/>
      <c r="AD627" s="23"/>
      <c r="AE627" s="23"/>
      <c r="AF627" s="335"/>
      <c r="AG627" s="336"/>
      <c r="AH627" s="334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</row>
    <row r="628" spans="1:346" s="26" customFormat="1" ht="12" hidden="1" customHeight="1" x14ac:dyDescent="0.25">
      <c r="A628" s="21"/>
      <c r="B628" s="21"/>
      <c r="C628" s="22"/>
      <c r="D628" s="353"/>
      <c r="E628" s="73"/>
      <c r="F628" s="7"/>
      <c r="G628" s="7"/>
      <c r="H628" s="7"/>
      <c r="I628" s="180"/>
      <c r="J628" s="180"/>
      <c r="K628" s="284"/>
      <c r="L628" s="193"/>
      <c r="M628" s="180"/>
      <c r="N628" s="180"/>
      <c r="O628" s="180"/>
      <c r="P628" s="180"/>
      <c r="Q628" s="180"/>
      <c r="R628" s="180"/>
      <c r="S628" s="24"/>
      <c r="T628" s="182"/>
      <c r="U628" s="24"/>
      <c r="V628" s="32"/>
      <c r="W628" s="240"/>
      <c r="X628" s="64"/>
      <c r="Y628" s="75"/>
      <c r="Z628" s="64"/>
      <c r="AA628" s="64"/>
      <c r="AB628" s="25"/>
      <c r="AC628" s="23"/>
      <c r="AD628" s="23"/>
      <c r="AE628" s="23"/>
      <c r="AF628" s="335"/>
      <c r="AG628" s="336"/>
      <c r="AH628" s="334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</row>
    <row r="629" spans="1:346" s="26" customFormat="1" ht="12" hidden="1" customHeight="1" x14ac:dyDescent="0.25">
      <c r="A629" s="21"/>
      <c r="B629" s="21"/>
      <c r="C629" s="22"/>
      <c r="D629" s="353"/>
      <c r="E629" s="73"/>
      <c r="F629" s="7"/>
      <c r="G629" s="7"/>
      <c r="H629" s="7"/>
      <c r="I629" s="180"/>
      <c r="J629" s="180"/>
      <c r="K629" s="284"/>
      <c r="L629" s="193"/>
      <c r="M629" s="180"/>
      <c r="N629" s="180"/>
      <c r="O629" s="180"/>
      <c r="P629" s="180"/>
      <c r="Q629" s="180"/>
      <c r="R629" s="180"/>
      <c r="S629" s="24"/>
      <c r="T629" s="182"/>
      <c r="U629" s="24"/>
      <c r="V629" s="32"/>
      <c r="W629" s="240"/>
      <c r="X629" s="64"/>
      <c r="Y629" s="75"/>
      <c r="Z629" s="64"/>
      <c r="AA629" s="64"/>
      <c r="AB629" s="25"/>
      <c r="AC629" s="23"/>
      <c r="AD629" s="23"/>
      <c r="AE629" s="23"/>
      <c r="AF629" s="335"/>
      <c r="AG629" s="336"/>
      <c r="AH629" s="334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</row>
    <row r="630" spans="1:346" s="26" customFormat="1" ht="12" hidden="1" customHeight="1" x14ac:dyDescent="0.25">
      <c r="A630" s="21"/>
      <c r="B630" s="21"/>
      <c r="C630" s="22"/>
      <c r="D630" s="353"/>
      <c r="E630" s="73"/>
      <c r="F630" s="7"/>
      <c r="G630" s="7"/>
      <c r="H630" s="7"/>
      <c r="I630" s="180"/>
      <c r="J630" s="180"/>
      <c r="K630" s="284"/>
      <c r="L630" s="193"/>
      <c r="M630" s="180"/>
      <c r="N630" s="180"/>
      <c r="O630" s="180"/>
      <c r="P630" s="180"/>
      <c r="Q630" s="180"/>
      <c r="R630" s="180"/>
      <c r="S630" s="24"/>
      <c r="T630" s="182"/>
      <c r="U630" s="24"/>
      <c r="V630" s="32"/>
      <c r="W630" s="240"/>
      <c r="X630" s="64"/>
      <c r="Y630" s="75"/>
      <c r="Z630" s="64"/>
      <c r="AA630" s="64"/>
      <c r="AB630" s="25"/>
      <c r="AC630" s="23"/>
      <c r="AD630" s="23"/>
      <c r="AE630" s="23"/>
      <c r="AF630" s="335"/>
      <c r="AG630" s="336"/>
      <c r="AH630" s="334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</row>
    <row r="631" spans="1:346" s="26" customFormat="1" ht="12" hidden="1" customHeight="1" x14ac:dyDescent="0.25">
      <c r="A631" s="21"/>
      <c r="B631" s="21"/>
      <c r="C631" s="22"/>
      <c r="D631" s="353"/>
      <c r="E631" s="73"/>
      <c r="F631" s="7"/>
      <c r="G631" s="7"/>
      <c r="H631" s="7"/>
      <c r="I631" s="180"/>
      <c r="J631" s="180"/>
      <c r="K631" s="284"/>
      <c r="L631" s="193"/>
      <c r="M631" s="180"/>
      <c r="N631" s="180"/>
      <c r="O631" s="180"/>
      <c r="P631" s="180"/>
      <c r="Q631" s="180"/>
      <c r="R631" s="180"/>
      <c r="S631" s="24"/>
      <c r="T631" s="182"/>
      <c r="U631" s="24"/>
      <c r="V631" s="32"/>
      <c r="W631" s="240"/>
      <c r="X631" s="64"/>
      <c r="Y631" s="75"/>
      <c r="Z631" s="64"/>
      <c r="AA631" s="64"/>
      <c r="AB631" s="25"/>
      <c r="AC631" s="23"/>
      <c r="AD631" s="23"/>
      <c r="AE631" s="23"/>
      <c r="AF631" s="335"/>
      <c r="AG631" s="336"/>
      <c r="AH631" s="334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</row>
    <row r="632" spans="1:346" s="26" customFormat="1" ht="12" hidden="1" customHeight="1" x14ac:dyDescent="0.25">
      <c r="A632" s="21"/>
      <c r="B632" s="21"/>
      <c r="C632" s="22"/>
      <c r="D632" s="353"/>
      <c r="E632" s="73"/>
      <c r="F632" s="7"/>
      <c r="G632" s="7"/>
      <c r="H632" s="7"/>
      <c r="I632" s="180"/>
      <c r="J632" s="180"/>
      <c r="K632" s="284"/>
      <c r="L632" s="193"/>
      <c r="M632" s="180"/>
      <c r="N632" s="180"/>
      <c r="O632" s="180"/>
      <c r="P632" s="180"/>
      <c r="Q632" s="180"/>
      <c r="R632" s="180"/>
      <c r="S632" s="24"/>
      <c r="T632" s="182"/>
      <c r="U632" s="24"/>
      <c r="V632" s="32"/>
      <c r="W632" s="240"/>
      <c r="X632" s="64"/>
      <c r="Y632" s="75"/>
      <c r="Z632" s="64"/>
      <c r="AA632" s="64"/>
      <c r="AB632" s="25"/>
      <c r="AC632" s="23"/>
      <c r="AD632" s="23"/>
      <c r="AE632" s="23"/>
      <c r="AF632" s="335"/>
      <c r="AG632" s="336"/>
      <c r="AH632" s="334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</row>
    <row r="633" spans="1:346" s="26" customFormat="1" ht="12" hidden="1" customHeight="1" x14ac:dyDescent="0.25">
      <c r="A633" s="21"/>
      <c r="B633" s="21"/>
      <c r="C633" s="22"/>
      <c r="D633" s="353"/>
      <c r="E633" s="73"/>
      <c r="F633" s="7"/>
      <c r="G633" s="7"/>
      <c r="H633" s="7"/>
      <c r="I633" s="180"/>
      <c r="J633" s="180"/>
      <c r="K633" s="284"/>
      <c r="L633" s="193"/>
      <c r="M633" s="180"/>
      <c r="N633" s="180"/>
      <c r="O633" s="180"/>
      <c r="P633" s="180"/>
      <c r="Q633" s="180"/>
      <c r="R633" s="180"/>
      <c r="S633" s="24"/>
      <c r="T633" s="182"/>
      <c r="U633" s="24"/>
      <c r="V633" s="32"/>
      <c r="W633" s="240"/>
      <c r="X633" s="64"/>
      <c r="Y633" s="75"/>
      <c r="Z633" s="64"/>
      <c r="AA633" s="64"/>
      <c r="AB633" s="25"/>
      <c r="AC633" s="23"/>
      <c r="AD633" s="23"/>
      <c r="AE633" s="23"/>
      <c r="AF633" s="335"/>
      <c r="AG633" s="336"/>
      <c r="AH633" s="334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</row>
    <row r="634" spans="1:346" s="26" customFormat="1" ht="12" hidden="1" customHeight="1" x14ac:dyDescent="0.25">
      <c r="A634" s="21"/>
      <c r="B634" s="21"/>
      <c r="C634" s="22"/>
      <c r="D634" s="353"/>
      <c r="E634" s="73"/>
      <c r="F634" s="7"/>
      <c r="G634" s="7"/>
      <c r="H634" s="7"/>
      <c r="I634" s="180"/>
      <c r="J634" s="180"/>
      <c r="K634" s="284"/>
      <c r="L634" s="193"/>
      <c r="M634" s="180"/>
      <c r="N634" s="180"/>
      <c r="O634" s="180"/>
      <c r="P634" s="180"/>
      <c r="Q634" s="180"/>
      <c r="R634" s="180"/>
      <c r="S634" s="24"/>
      <c r="T634" s="182"/>
      <c r="U634" s="24"/>
      <c r="V634" s="32"/>
      <c r="W634" s="240"/>
      <c r="X634" s="64"/>
      <c r="Y634" s="75"/>
      <c r="Z634" s="64"/>
      <c r="AA634" s="64"/>
      <c r="AB634" s="25"/>
      <c r="AC634" s="23"/>
      <c r="AD634" s="23"/>
      <c r="AE634" s="23"/>
      <c r="AF634" s="335"/>
      <c r="AG634" s="336"/>
      <c r="AH634" s="334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</row>
    <row r="635" spans="1:346" s="26" customFormat="1" ht="12" hidden="1" customHeight="1" x14ac:dyDescent="0.25">
      <c r="A635" s="21"/>
      <c r="B635" s="21"/>
      <c r="C635" s="22"/>
      <c r="D635" s="353"/>
      <c r="E635" s="73"/>
      <c r="F635" s="7"/>
      <c r="G635" s="7"/>
      <c r="H635" s="7"/>
      <c r="I635" s="180"/>
      <c r="J635" s="180"/>
      <c r="K635" s="284"/>
      <c r="L635" s="193"/>
      <c r="M635" s="180"/>
      <c r="N635" s="180"/>
      <c r="O635" s="180"/>
      <c r="P635" s="180"/>
      <c r="Q635" s="180"/>
      <c r="R635" s="180"/>
      <c r="S635" s="24"/>
      <c r="T635" s="182"/>
      <c r="U635" s="24"/>
      <c r="V635" s="32"/>
      <c r="W635" s="240"/>
      <c r="X635" s="64"/>
      <c r="Y635" s="75"/>
      <c r="Z635" s="64"/>
      <c r="AA635" s="64"/>
      <c r="AB635" s="25"/>
      <c r="AC635" s="23"/>
      <c r="AD635" s="23"/>
      <c r="AE635" s="23"/>
      <c r="AF635" s="335"/>
      <c r="AG635" s="336"/>
      <c r="AH635" s="334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</row>
    <row r="636" spans="1:346" s="26" customFormat="1" ht="12" hidden="1" customHeight="1" x14ac:dyDescent="0.25">
      <c r="A636" s="21"/>
      <c r="B636" s="21"/>
      <c r="C636" s="22"/>
      <c r="D636" s="353"/>
      <c r="E636" s="73"/>
      <c r="F636" s="7"/>
      <c r="G636" s="7"/>
      <c r="H636" s="7"/>
      <c r="I636" s="180"/>
      <c r="J636" s="180"/>
      <c r="K636" s="284"/>
      <c r="L636" s="193"/>
      <c r="M636" s="180"/>
      <c r="N636" s="180"/>
      <c r="O636" s="180"/>
      <c r="P636" s="180"/>
      <c r="Q636" s="180"/>
      <c r="R636" s="180"/>
      <c r="S636" s="24"/>
      <c r="T636" s="182"/>
      <c r="U636" s="24"/>
      <c r="V636" s="32"/>
      <c r="W636" s="240"/>
      <c r="X636" s="64"/>
      <c r="Y636" s="75"/>
      <c r="Z636" s="64"/>
      <c r="AA636" s="64"/>
      <c r="AB636" s="25"/>
      <c r="AC636" s="23"/>
      <c r="AD636" s="23"/>
      <c r="AE636" s="23"/>
      <c r="AF636" s="335"/>
      <c r="AG636" s="336"/>
      <c r="AH636" s="334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</row>
    <row r="637" spans="1:346" s="26" customFormat="1" ht="12" hidden="1" customHeight="1" x14ac:dyDescent="0.25">
      <c r="A637" s="21"/>
      <c r="B637" s="21"/>
      <c r="C637" s="22"/>
      <c r="D637" s="353"/>
      <c r="E637" s="73"/>
      <c r="F637" s="7"/>
      <c r="G637" s="7"/>
      <c r="H637" s="7"/>
      <c r="I637" s="180"/>
      <c r="J637" s="180"/>
      <c r="K637" s="284"/>
      <c r="L637" s="193"/>
      <c r="M637" s="180"/>
      <c r="N637" s="180"/>
      <c r="O637" s="180"/>
      <c r="P637" s="180"/>
      <c r="Q637" s="180"/>
      <c r="R637" s="180"/>
      <c r="S637" s="24"/>
      <c r="T637" s="182"/>
      <c r="U637" s="24"/>
      <c r="V637" s="32"/>
      <c r="W637" s="240"/>
      <c r="X637" s="64"/>
      <c r="Y637" s="75"/>
      <c r="Z637" s="64"/>
      <c r="AA637" s="64"/>
      <c r="AB637" s="25"/>
      <c r="AC637" s="23"/>
      <c r="AD637" s="23"/>
      <c r="AE637" s="23"/>
      <c r="AF637" s="335"/>
      <c r="AG637" s="336"/>
      <c r="AH637" s="334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</row>
    <row r="638" spans="1:346" s="26" customFormat="1" ht="12" hidden="1" customHeight="1" x14ac:dyDescent="0.25">
      <c r="A638" s="21"/>
      <c r="B638" s="21"/>
      <c r="C638" s="22"/>
      <c r="D638" s="353"/>
      <c r="E638" s="73"/>
      <c r="F638" s="7"/>
      <c r="G638" s="7"/>
      <c r="H638" s="7"/>
      <c r="I638" s="180"/>
      <c r="J638" s="180"/>
      <c r="K638" s="284"/>
      <c r="L638" s="193"/>
      <c r="M638" s="180"/>
      <c r="N638" s="180"/>
      <c r="O638" s="180"/>
      <c r="P638" s="180"/>
      <c r="Q638" s="180"/>
      <c r="R638" s="180"/>
      <c r="S638" s="24"/>
      <c r="T638" s="182"/>
      <c r="U638" s="24"/>
      <c r="V638" s="32"/>
      <c r="W638" s="240"/>
      <c r="X638" s="64"/>
      <c r="Y638" s="75"/>
      <c r="Z638" s="64"/>
      <c r="AA638" s="64"/>
      <c r="AB638" s="25"/>
      <c r="AC638" s="23"/>
      <c r="AD638" s="23"/>
      <c r="AE638" s="23"/>
      <c r="AF638" s="335"/>
      <c r="AG638" s="336"/>
      <c r="AH638" s="334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</row>
    <row r="639" spans="1:346" s="26" customFormat="1" ht="12" hidden="1" customHeight="1" x14ac:dyDescent="0.25">
      <c r="A639" s="21"/>
      <c r="B639" s="21"/>
      <c r="C639" s="22"/>
      <c r="D639" s="353"/>
      <c r="E639" s="73"/>
      <c r="F639" s="7"/>
      <c r="G639" s="7"/>
      <c r="H639" s="7"/>
      <c r="I639" s="180"/>
      <c r="J639" s="180"/>
      <c r="K639" s="284"/>
      <c r="L639" s="193"/>
      <c r="M639" s="180"/>
      <c r="N639" s="180"/>
      <c r="O639" s="180"/>
      <c r="P639" s="180"/>
      <c r="Q639" s="180"/>
      <c r="R639" s="180"/>
      <c r="S639" s="24"/>
      <c r="T639" s="182"/>
      <c r="U639" s="24"/>
      <c r="V639" s="32"/>
      <c r="W639" s="240"/>
      <c r="X639" s="64"/>
      <c r="Y639" s="75"/>
      <c r="Z639" s="64"/>
      <c r="AA639" s="64"/>
      <c r="AB639" s="25"/>
      <c r="AC639" s="23"/>
      <c r="AD639" s="23"/>
      <c r="AE639" s="23"/>
      <c r="AF639" s="335"/>
      <c r="AG639" s="336"/>
      <c r="AH639" s="334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</row>
    <row r="640" spans="1:346" s="26" customFormat="1" ht="12" hidden="1" customHeight="1" x14ac:dyDescent="0.25">
      <c r="A640" s="21"/>
      <c r="B640" s="21"/>
      <c r="C640" s="22"/>
      <c r="D640" s="353"/>
      <c r="E640" s="73"/>
      <c r="F640" s="7"/>
      <c r="G640" s="7"/>
      <c r="H640" s="7"/>
      <c r="I640" s="180"/>
      <c r="J640" s="180"/>
      <c r="K640" s="284"/>
      <c r="L640" s="193"/>
      <c r="M640" s="180"/>
      <c r="N640" s="180"/>
      <c r="O640" s="180"/>
      <c r="P640" s="180"/>
      <c r="Q640" s="180"/>
      <c r="R640" s="180"/>
      <c r="S640" s="24"/>
      <c r="T640" s="182"/>
      <c r="U640" s="24"/>
      <c r="V640" s="32"/>
      <c r="W640" s="240"/>
      <c r="X640" s="64"/>
      <c r="Y640" s="75"/>
      <c r="Z640" s="64"/>
      <c r="AA640" s="64"/>
      <c r="AB640" s="25"/>
      <c r="AC640" s="23"/>
      <c r="AD640" s="23"/>
      <c r="AE640" s="23"/>
      <c r="AF640" s="335"/>
      <c r="AG640" s="336"/>
      <c r="AH640" s="334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</row>
    <row r="641" spans="1:346" s="26" customFormat="1" ht="12" hidden="1" customHeight="1" x14ac:dyDescent="0.25">
      <c r="A641" s="21"/>
      <c r="B641" s="21"/>
      <c r="C641" s="22"/>
      <c r="D641" s="353"/>
      <c r="E641" s="73"/>
      <c r="F641" s="7"/>
      <c r="G641" s="7"/>
      <c r="H641" s="7"/>
      <c r="I641" s="180"/>
      <c r="J641" s="180"/>
      <c r="K641" s="284"/>
      <c r="L641" s="193"/>
      <c r="M641" s="180"/>
      <c r="N641" s="180"/>
      <c r="O641" s="180"/>
      <c r="P641" s="180"/>
      <c r="Q641" s="180"/>
      <c r="R641" s="180"/>
      <c r="S641" s="24"/>
      <c r="T641" s="182"/>
      <c r="U641" s="24"/>
      <c r="V641" s="32"/>
      <c r="W641" s="240"/>
      <c r="X641" s="64"/>
      <c r="Y641" s="75"/>
      <c r="Z641" s="64"/>
      <c r="AA641" s="64"/>
      <c r="AB641" s="25"/>
      <c r="AC641" s="23"/>
      <c r="AD641" s="23"/>
      <c r="AE641" s="23"/>
      <c r="AF641" s="335"/>
      <c r="AG641" s="336"/>
      <c r="AH641" s="334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</row>
    <row r="642" spans="1:346" s="26" customFormat="1" ht="12" hidden="1" customHeight="1" x14ac:dyDescent="0.25">
      <c r="A642" s="21"/>
      <c r="B642" s="21"/>
      <c r="C642" s="22"/>
      <c r="D642" s="353"/>
      <c r="E642" s="73"/>
      <c r="F642" s="7"/>
      <c r="G642" s="7"/>
      <c r="H642" s="7"/>
      <c r="I642" s="180"/>
      <c r="J642" s="180"/>
      <c r="K642" s="284"/>
      <c r="L642" s="193"/>
      <c r="M642" s="180"/>
      <c r="N642" s="180"/>
      <c r="O642" s="180"/>
      <c r="P642" s="180"/>
      <c r="Q642" s="180"/>
      <c r="R642" s="180"/>
      <c r="S642" s="24"/>
      <c r="T642" s="182"/>
      <c r="U642" s="24"/>
      <c r="V642" s="32"/>
      <c r="W642" s="240"/>
      <c r="X642" s="64"/>
      <c r="Y642" s="75"/>
      <c r="Z642" s="64"/>
      <c r="AA642" s="64"/>
      <c r="AB642" s="25"/>
      <c r="AC642" s="23"/>
      <c r="AD642" s="23"/>
      <c r="AE642" s="23"/>
      <c r="AF642" s="335"/>
      <c r="AG642" s="336"/>
      <c r="AH642" s="334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</row>
    <row r="643" spans="1:346" s="26" customFormat="1" ht="12" hidden="1" customHeight="1" x14ac:dyDescent="0.25">
      <c r="A643" s="21"/>
      <c r="B643" s="21"/>
      <c r="C643" s="22"/>
      <c r="D643" s="353"/>
      <c r="E643" s="73"/>
      <c r="F643" s="7"/>
      <c r="G643" s="7"/>
      <c r="H643" s="7"/>
      <c r="I643" s="180"/>
      <c r="J643" s="180"/>
      <c r="K643" s="284"/>
      <c r="L643" s="193"/>
      <c r="M643" s="180"/>
      <c r="N643" s="180"/>
      <c r="O643" s="180"/>
      <c r="P643" s="180"/>
      <c r="Q643" s="180"/>
      <c r="R643" s="180"/>
      <c r="S643" s="24"/>
      <c r="T643" s="182"/>
      <c r="U643" s="24"/>
      <c r="V643" s="32"/>
      <c r="W643" s="240"/>
      <c r="X643" s="64"/>
      <c r="Y643" s="75"/>
      <c r="Z643" s="64"/>
      <c r="AA643" s="64"/>
      <c r="AB643" s="25"/>
      <c r="AC643" s="23"/>
      <c r="AD643" s="23"/>
      <c r="AE643" s="23"/>
      <c r="AF643" s="335"/>
      <c r="AG643" s="336"/>
      <c r="AH643" s="334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</row>
    <row r="644" spans="1:346" s="26" customFormat="1" ht="12" hidden="1" customHeight="1" x14ac:dyDescent="0.25">
      <c r="A644" s="21"/>
      <c r="B644" s="21"/>
      <c r="C644" s="22"/>
      <c r="D644" s="353"/>
      <c r="E644" s="73"/>
      <c r="F644" s="7"/>
      <c r="G644" s="7"/>
      <c r="H644" s="7"/>
      <c r="I644" s="180"/>
      <c r="J644" s="180"/>
      <c r="K644" s="284"/>
      <c r="L644" s="193"/>
      <c r="M644" s="180"/>
      <c r="N644" s="180"/>
      <c r="O644" s="180"/>
      <c r="P644" s="180"/>
      <c r="Q644" s="180"/>
      <c r="R644" s="180"/>
      <c r="S644" s="24"/>
      <c r="T644" s="182"/>
      <c r="U644" s="24"/>
      <c r="V644" s="32"/>
      <c r="W644" s="240"/>
      <c r="X644" s="64"/>
      <c r="Y644" s="75"/>
      <c r="Z644" s="64"/>
      <c r="AA644" s="64"/>
      <c r="AB644" s="25"/>
      <c r="AC644" s="23"/>
      <c r="AD644" s="23"/>
      <c r="AE644" s="23"/>
      <c r="AF644" s="335"/>
      <c r="AG644" s="336"/>
      <c r="AH644" s="334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</row>
    <row r="645" spans="1:346" s="26" customFormat="1" ht="12" hidden="1" customHeight="1" x14ac:dyDescent="0.25">
      <c r="A645" s="21"/>
      <c r="B645" s="21"/>
      <c r="C645" s="22"/>
      <c r="D645" s="353"/>
      <c r="E645" s="73"/>
      <c r="F645" s="7"/>
      <c r="G645" s="7"/>
      <c r="H645" s="7"/>
      <c r="I645" s="180"/>
      <c r="J645" s="180"/>
      <c r="K645" s="284"/>
      <c r="L645" s="193"/>
      <c r="M645" s="180"/>
      <c r="N645" s="180"/>
      <c r="O645" s="180"/>
      <c r="P645" s="180"/>
      <c r="Q645" s="180"/>
      <c r="R645" s="180"/>
      <c r="S645" s="24"/>
      <c r="T645" s="182"/>
      <c r="U645" s="24"/>
      <c r="V645" s="32"/>
      <c r="W645" s="240"/>
      <c r="X645" s="64"/>
      <c r="Y645" s="75"/>
      <c r="Z645" s="64"/>
      <c r="AA645" s="64"/>
      <c r="AB645" s="25"/>
      <c r="AC645" s="23"/>
      <c r="AD645" s="23"/>
      <c r="AE645" s="23"/>
      <c r="AF645" s="335"/>
      <c r="AG645" s="336"/>
      <c r="AH645" s="334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</row>
    <row r="646" spans="1:346" s="26" customFormat="1" ht="12" hidden="1" customHeight="1" x14ac:dyDescent="0.25">
      <c r="A646" s="21"/>
      <c r="B646" s="21"/>
      <c r="C646" s="22"/>
      <c r="D646" s="353"/>
      <c r="E646" s="73"/>
      <c r="F646" s="7"/>
      <c r="G646" s="7"/>
      <c r="H646" s="7"/>
      <c r="I646" s="180"/>
      <c r="J646" s="180"/>
      <c r="K646" s="284"/>
      <c r="L646" s="193"/>
      <c r="M646" s="180"/>
      <c r="N646" s="180"/>
      <c r="O646" s="180"/>
      <c r="P646" s="180"/>
      <c r="Q646" s="180"/>
      <c r="R646" s="180"/>
      <c r="S646" s="24"/>
      <c r="T646" s="182"/>
      <c r="U646" s="24"/>
      <c r="V646" s="32"/>
      <c r="W646" s="240"/>
      <c r="X646" s="64"/>
      <c r="Y646" s="75"/>
      <c r="Z646" s="64"/>
      <c r="AA646" s="64"/>
      <c r="AB646" s="25"/>
      <c r="AC646" s="23"/>
      <c r="AD646" s="23"/>
      <c r="AE646" s="23"/>
      <c r="AF646" s="335"/>
      <c r="AG646" s="336"/>
      <c r="AH646" s="334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</row>
    <row r="647" spans="1:346" s="26" customFormat="1" ht="12" hidden="1" customHeight="1" x14ac:dyDescent="0.25">
      <c r="A647" s="21"/>
      <c r="B647" s="21"/>
      <c r="C647" s="22"/>
      <c r="D647" s="353"/>
      <c r="E647" s="73"/>
      <c r="F647" s="7"/>
      <c r="G647" s="7"/>
      <c r="H647" s="7"/>
      <c r="I647" s="180"/>
      <c r="J647" s="180"/>
      <c r="K647" s="284"/>
      <c r="L647" s="193"/>
      <c r="M647" s="180"/>
      <c r="N647" s="180"/>
      <c r="O647" s="180"/>
      <c r="P647" s="180"/>
      <c r="Q647" s="180"/>
      <c r="R647" s="180"/>
      <c r="S647" s="24"/>
      <c r="T647" s="182"/>
      <c r="U647" s="24"/>
      <c r="V647" s="32"/>
      <c r="W647" s="240"/>
      <c r="X647" s="64"/>
      <c r="Y647" s="75"/>
      <c r="Z647" s="64"/>
      <c r="AA647" s="64"/>
      <c r="AB647" s="25"/>
      <c r="AC647" s="23"/>
      <c r="AD647" s="23"/>
      <c r="AE647" s="23"/>
      <c r="AF647" s="335"/>
      <c r="AG647" s="336"/>
      <c r="AH647" s="334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</row>
    <row r="648" spans="1:346" s="26" customFormat="1" ht="12" hidden="1" customHeight="1" x14ac:dyDescent="0.25">
      <c r="A648" s="21"/>
      <c r="B648" s="21"/>
      <c r="C648" s="22"/>
      <c r="D648" s="353"/>
      <c r="E648" s="73"/>
      <c r="F648" s="7"/>
      <c r="G648" s="7"/>
      <c r="H648" s="7"/>
      <c r="I648" s="180"/>
      <c r="J648" s="180"/>
      <c r="K648" s="284"/>
      <c r="L648" s="193"/>
      <c r="M648" s="180"/>
      <c r="N648" s="180"/>
      <c r="O648" s="180"/>
      <c r="P648" s="180"/>
      <c r="Q648" s="180"/>
      <c r="R648" s="180"/>
      <c r="S648" s="24"/>
      <c r="T648" s="182"/>
      <c r="U648" s="24"/>
      <c r="V648" s="32"/>
      <c r="W648" s="240"/>
      <c r="X648" s="64"/>
      <c r="Y648" s="75"/>
      <c r="Z648" s="64"/>
      <c r="AA648" s="64"/>
      <c r="AB648" s="25"/>
      <c r="AC648" s="23"/>
      <c r="AD648" s="23"/>
      <c r="AE648" s="23"/>
      <c r="AF648" s="335"/>
      <c r="AG648" s="336"/>
      <c r="AH648" s="334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</row>
    <row r="649" spans="1:346" s="26" customFormat="1" ht="12" hidden="1" customHeight="1" x14ac:dyDescent="0.25">
      <c r="A649" s="21"/>
      <c r="B649" s="21"/>
      <c r="C649" s="22"/>
      <c r="D649" s="353"/>
      <c r="E649" s="73"/>
      <c r="F649" s="7"/>
      <c r="G649" s="7"/>
      <c r="H649" s="7"/>
      <c r="I649" s="180"/>
      <c r="J649" s="180"/>
      <c r="K649" s="284"/>
      <c r="L649" s="193"/>
      <c r="M649" s="180"/>
      <c r="N649" s="180"/>
      <c r="O649" s="180"/>
      <c r="P649" s="180"/>
      <c r="Q649" s="180"/>
      <c r="R649" s="180"/>
      <c r="S649" s="24"/>
      <c r="T649" s="182"/>
      <c r="U649" s="24"/>
      <c r="V649" s="32"/>
      <c r="W649" s="240"/>
      <c r="X649" s="64"/>
      <c r="Y649" s="75"/>
      <c r="Z649" s="64"/>
      <c r="AA649" s="64"/>
      <c r="AB649" s="25"/>
      <c r="AC649" s="23"/>
      <c r="AD649" s="23"/>
      <c r="AE649" s="23"/>
      <c r="AF649" s="335"/>
      <c r="AG649" s="336"/>
      <c r="AH649" s="334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</row>
    <row r="650" spans="1:346" s="26" customFormat="1" ht="12" hidden="1" customHeight="1" x14ac:dyDescent="0.25">
      <c r="A650" s="21"/>
      <c r="B650" s="21"/>
      <c r="C650" s="22"/>
      <c r="D650" s="353"/>
      <c r="E650" s="73"/>
      <c r="F650" s="7"/>
      <c r="G650" s="7"/>
      <c r="H650" s="7"/>
      <c r="I650" s="180"/>
      <c r="J650" s="180"/>
      <c r="K650" s="284"/>
      <c r="L650" s="193"/>
      <c r="M650" s="180"/>
      <c r="N650" s="180"/>
      <c r="O650" s="180"/>
      <c r="P650" s="180"/>
      <c r="Q650" s="180"/>
      <c r="R650" s="180"/>
      <c r="S650" s="24"/>
      <c r="T650" s="182"/>
      <c r="U650" s="24"/>
      <c r="V650" s="32"/>
      <c r="W650" s="240"/>
      <c r="X650" s="64"/>
      <c r="Y650" s="75"/>
      <c r="Z650" s="64"/>
      <c r="AA650" s="64"/>
      <c r="AB650" s="25"/>
      <c r="AC650" s="23"/>
      <c r="AD650" s="23"/>
      <c r="AE650" s="23"/>
      <c r="AF650" s="335"/>
      <c r="AG650" s="336"/>
      <c r="AH650" s="334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</row>
    <row r="651" spans="1:346" s="26" customFormat="1" ht="12" hidden="1" customHeight="1" x14ac:dyDescent="0.25">
      <c r="A651" s="21"/>
      <c r="B651" s="21"/>
      <c r="C651" s="22"/>
      <c r="D651" s="353"/>
      <c r="E651" s="73"/>
      <c r="F651" s="7"/>
      <c r="G651" s="7"/>
      <c r="H651" s="7"/>
      <c r="I651" s="180"/>
      <c r="J651" s="180"/>
      <c r="K651" s="284"/>
      <c r="L651" s="193"/>
      <c r="M651" s="180"/>
      <c r="N651" s="180"/>
      <c r="O651" s="180"/>
      <c r="P651" s="180"/>
      <c r="Q651" s="180"/>
      <c r="R651" s="180"/>
      <c r="S651" s="24"/>
      <c r="T651" s="182"/>
      <c r="U651" s="24"/>
      <c r="V651" s="32"/>
      <c r="W651" s="240"/>
      <c r="X651" s="64"/>
      <c r="Y651" s="75"/>
      <c r="Z651" s="64"/>
      <c r="AA651" s="64"/>
      <c r="AB651" s="25"/>
      <c r="AC651" s="23"/>
      <c r="AD651" s="23"/>
      <c r="AE651" s="23"/>
      <c r="AF651" s="335"/>
      <c r="AG651" s="336"/>
      <c r="AH651" s="334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</row>
    <row r="652" spans="1:346" s="26" customFormat="1" ht="12" hidden="1" customHeight="1" x14ac:dyDescent="0.25">
      <c r="A652" s="21"/>
      <c r="B652" s="21"/>
      <c r="C652" s="22"/>
      <c r="D652" s="353"/>
      <c r="E652" s="73"/>
      <c r="F652" s="7"/>
      <c r="G652" s="7"/>
      <c r="H652" s="7"/>
      <c r="I652" s="180"/>
      <c r="J652" s="180"/>
      <c r="K652" s="284"/>
      <c r="L652" s="193"/>
      <c r="M652" s="180"/>
      <c r="N652" s="180"/>
      <c r="O652" s="180"/>
      <c r="P652" s="180"/>
      <c r="Q652" s="180"/>
      <c r="R652" s="180"/>
      <c r="S652" s="24"/>
      <c r="T652" s="182"/>
      <c r="U652" s="24"/>
      <c r="V652" s="32"/>
      <c r="W652" s="240"/>
      <c r="X652" s="64"/>
      <c r="Y652" s="75"/>
      <c r="Z652" s="64"/>
      <c r="AA652" s="64"/>
      <c r="AB652" s="25"/>
      <c r="AC652" s="23"/>
      <c r="AD652" s="23"/>
      <c r="AE652" s="23"/>
      <c r="AF652" s="335"/>
      <c r="AG652" s="336"/>
      <c r="AH652" s="334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</row>
    <row r="653" spans="1:346" s="26" customFormat="1" ht="12" hidden="1" customHeight="1" x14ac:dyDescent="0.25">
      <c r="A653" s="21"/>
      <c r="B653" s="21"/>
      <c r="C653" s="22"/>
      <c r="D653" s="353"/>
      <c r="E653" s="73"/>
      <c r="F653" s="7"/>
      <c r="G653" s="7"/>
      <c r="H653" s="7"/>
      <c r="I653" s="180"/>
      <c r="J653" s="180"/>
      <c r="K653" s="284"/>
      <c r="L653" s="193"/>
      <c r="M653" s="180"/>
      <c r="N653" s="180"/>
      <c r="O653" s="180"/>
      <c r="P653" s="180"/>
      <c r="Q653" s="180"/>
      <c r="R653" s="180"/>
      <c r="S653" s="24"/>
      <c r="T653" s="182"/>
      <c r="U653" s="24"/>
      <c r="V653" s="32"/>
      <c r="W653" s="240"/>
      <c r="X653" s="64"/>
      <c r="Y653" s="75"/>
      <c r="Z653" s="64"/>
      <c r="AA653" s="64"/>
      <c r="AB653" s="25"/>
      <c r="AC653" s="23"/>
      <c r="AD653" s="23"/>
      <c r="AE653" s="23"/>
      <c r="AF653" s="335"/>
      <c r="AG653" s="336"/>
      <c r="AH653" s="334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</row>
    <row r="654" spans="1:346" s="26" customFormat="1" ht="12" hidden="1" customHeight="1" x14ac:dyDescent="0.25">
      <c r="A654" s="21"/>
      <c r="B654" s="21"/>
      <c r="C654" s="22"/>
      <c r="D654" s="353"/>
      <c r="E654" s="73"/>
      <c r="F654" s="7"/>
      <c r="G654" s="7"/>
      <c r="H654" s="7"/>
      <c r="I654" s="180"/>
      <c r="J654" s="180"/>
      <c r="K654" s="284"/>
      <c r="L654" s="193"/>
      <c r="M654" s="180"/>
      <c r="N654" s="180"/>
      <c r="O654" s="180"/>
      <c r="P654" s="180"/>
      <c r="Q654" s="180"/>
      <c r="R654" s="180"/>
      <c r="S654" s="24"/>
      <c r="T654" s="182"/>
      <c r="U654" s="24"/>
      <c r="V654" s="32"/>
      <c r="W654" s="240"/>
      <c r="X654" s="64"/>
      <c r="Y654" s="75"/>
      <c r="Z654" s="64"/>
      <c r="AA654" s="64"/>
      <c r="AB654" s="25"/>
      <c r="AC654" s="23"/>
      <c r="AD654" s="23"/>
      <c r="AE654" s="23"/>
      <c r="AF654" s="335"/>
      <c r="AG654" s="336"/>
      <c r="AH654" s="334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</row>
    <row r="655" spans="1:346" s="26" customFormat="1" ht="12" hidden="1" customHeight="1" x14ac:dyDescent="0.25">
      <c r="A655" s="21"/>
      <c r="B655" s="21"/>
      <c r="C655" s="22"/>
      <c r="D655" s="353"/>
      <c r="E655" s="73"/>
      <c r="F655" s="7"/>
      <c r="G655" s="7"/>
      <c r="H655" s="7"/>
      <c r="I655" s="180"/>
      <c r="J655" s="180"/>
      <c r="K655" s="284"/>
      <c r="L655" s="193"/>
      <c r="M655" s="180"/>
      <c r="N655" s="180"/>
      <c r="O655" s="180"/>
      <c r="P655" s="180"/>
      <c r="Q655" s="180"/>
      <c r="R655" s="180"/>
      <c r="S655" s="24"/>
      <c r="T655" s="182"/>
      <c r="U655" s="24"/>
      <c r="V655" s="32"/>
      <c r="W655" s="240"/>
      <c r="X655" s="64"/>
      <c r="Y655" s="75"/>
      <c r="Z655" s="64"/>
      <c r="AA655" s="64"/>
      <c r="AB655" s="25"/>
      <c r="AC655" s="23"/>
      <c r="AD655" s="23"/>
      <c r="AE655" s="23"/>
      <c r="AF655" s="335"/>
      <c r="AG655" s="336"/>
      <c r="AH655" s="334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</row>
    <row r="656" spans="1:346" s="26" customFormat="1" ht="12" hidden="1" customHeight="1" x14ac:dyDescent="0.25">
      <c r="A656" s="21"/>
      <c r="B656" s="21"/>
      <c r="C656" s="22"/>
      <c r="D656" s="353"/>
      <c r="E656" s="73"/>
      <c r="F656" s="7"/>
      <c r="G656" s="7"/>
      <c r="H656" s="7"/>
      <c r="I656" s="180"/>
      <c r="J656" s="180"/>
      <c r="K656" s="284"/>
      <c r="L656" s="193"/>
      <c r="M656" s="180"/>
      <c r="N656" s="180"/>
      <c r="O656" s="180"/>
      <c r="P656" s="180"/>
      <c r="Q656" s="180"/>
      <c r="R656" s="180"/>
      <c r="S656" s="24"/>
      <c r="T656" s="182"/>
      <c r="U656" s="24"/>
      <c r="V656" s="32"/>
      <c r="W656" s="240"/>
      <c r="X656" s="64"/>
      <c r="Y656" s="75"/>
      <c r="Z656" s="64"/>
      <c r="AA656" s="64"/>
      <c r="AB656" s="25"/>
      <c r="AC656" s="23"/>
      <c r="AD656" s="23"/>
      <c r="AE656" s="23"/>
      <c r="AF656" s="335"/>
      <c r="AG656" s="336"/>
      <c r="AH656" s="334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</row>
    <row r="657" spans="1:346" s="26" customFormat="1" ht="12" hidden="1" customHeight="1" x14ac:dyDescent="0.25">
      <c r="A657" s="21"/>
      <c r="B657" s="21"/>
      <c r="C657" s="22"/>
      <c r="D657" s="353"/>
      <c r="E657" s="73"/>
      <c r="F657" s="7"/>
      <c r="G657" s="7"/>
      <c r="H657" s="7"/>
      <c r="I657" s="180"/>
      <c r="J657" s="180"/>
      <c r="K657" s="284"/>
      <c r="L657" s="193"/>
      <c r="M657" s="180"/>
      <c r="N657" s="180"/>
      <c r="O657" s="180"/>
      <c r="P657" s="180"/>
      <c r="Q657" s="180"/>
      <c r="R657" s="180"/>
      <c r="S657" s="24"/>
      <c r="T657" s="182"/>
      <c r="U657" s="24"/>
      <c r="V657" s="32"/>
      <c r="W657" s="240"/>
      <c r="X657" s="64"/>
      <c r="Y657" s="75"/>
      <c r="Z657" s="64"/>
      <c r="AA657" s="64"/>
      <c r="AB657" s="25"/>
      <c r="AC657" s="23"/>
      <c r="AD657" s="23"/>
      <c r="AE657" s="23"/>
      <c r="AF657" s="335"/>
      <c r="AG657" s="336"/>
      <c r="AH657" s="334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</row>
    <row r="658" spans="1:346" s="26" customFormat="1" ht="12" hidden="1" customHeight="1" x14ac:dyDescent="0.25">
      <c r="A658" s="21"/>
      <c r="B658" s="21"/>
      <c r="C658" s="22"/>
      <c r="D658" s="353"/>
      <c r="E658" s="73"/>
      <c r="F658" s="7"/>
      <c r="G658" s="7"/>
      <c r="H658" s="7"/>
      <c r="I658" s="180"/>
      <c r="J658" s="180"/>
      <c r="K658" s="284"/>
      <c r="L658" s="193"/>
      <c r="M658" s="180"/>
      <c r="N658" s="180"/>
      <c r="O658" s="180"/>
      <c r="P658" s="180"/>
      <c r="Q658" s="180"/>
      <c r="R658" s="180"/>
      <c r="S658" s="24"/>
      <c r="T658" s="182"/>
      <c r="U658" s="24"/>
      <c r="V658" s="32"/>
      <c r="W658" s="240"/>
      <c r="X658" s="64"/>
      <c r="Y658" s="75"/>
      <c r="Z658" s="64"/>
      <c r="AA658" s="64"/>
      <c r="AB658" s="25"/>
      <c r="AC658" s="23"/>
      <c r="AD658" s="23"/>
      <c r="AE658" s="23"/>
      <c r="AF658" s="335"/>
      <c r="AG658" s="336"/>
      <c r="AH658" s="334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</row>
    <row r="659" spans="1:346" s="26" customFormat="1" ht="12" hidden="1" customHeight="1" x14ac:dyDescent="0.25">
      <c r="A659" s="21"/>
      <c r="B659" s="21"/>
      <c r="C659" s="22"/>
      <c r="D659" s="353"/>
      <c r="E659" s="73"/>
      <c r="F659" s="7"/>
      <c r="G659" s="7"/>
      <c r="H659" s="7"/>
      <c r="I659" s="180"/>
      <c r="J659" s="180"/>
      <c r="K659" s="284"/>
      <c r="L659" s="193"/>
      <c r="M659" s="180"/>
      <c r="N659" s="180"/>
      <c r="O659" s="180"/>
      <c r="P659" s="180"/>
      <c r="Q659" s="180"/>
      <c r="R659" s="180"/>
      <c r="S659" s="24"/>
      <c r="T659" s="182"/>
      <c r="U659" s="24"/>
      <c r="V659" s="32"/>
      <c r="W659" s="240"/>
      <c r="X659" s="64"/>
      <c r="Y659" s="75"/>
      <c r="Z659" s="64"/>
      <c r="AA659" s="64"/>
      <c r="AB659" s="25"/>
      <c r="AC659" s="23"/>
      <c r="AD659" s="23"/>
      <c r="AE659" s="23"/>
      <c r="AF659" s="335"/>
      <c r="AG659" s="336"/>
      <c r="AH659" s="334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</row>
    <row r="660" spans="1:346" s="26" customFormat="1" ht="12" hidden="1" customHeight="1" x14ac:dyDescent="0.25">
      <c r="A660" s="21"/>
      <c r="B660" s="21"/>
      <c r="C660" s="22"/>
      <c r="D660" s="353"/>
      <c r="E660" s="73"/>
      <c r="F660" s="7"/>
      <c r="G660" s="7"/>
      <c r="H660" s="7"/>
      <c r="I660" s="180"/>
      <c r="J660" s="180"/>
      <c r="K660" s="284"/>
      <c r="L660" s="193"/>
      <c r="M660" s="180"/>
      <c r="N660" s="180"/>
      <c r="O660" s="180"/>
      <c r="P660" s="180"/>
      <c r="Q660" s="180"/>
      <c r="R660" s="180"/>
      <c r="S660" s="24"/>
      <c r="T660" s="182"/>
      <c r="U660" s="24"/>
      <c r="V660" s="32"/>
      <c r="W660" s="240"/>
      <c r="X660" s="64"/>
      <c r="Y660" s="75"/>
      <c r="Z660" s="64"/>
      <c r="AA660" s="64"/>
      <c r="AB660" s="25"/>
      <c r="AC660" s="23"/>
      <c r="AD660" s="23"/>
      <c r="AE660" s="23"/>
      <c r="AF660" s="335"/>
      <c r="AG660" s="336"/>
      <c r="AH660" s="334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</row>
    <row r="661" spans="1:346" s="26" customFormat="1" ht="12" hidden="1" customHeight="1" x14ac:dyDescent="0.25">
      <c r="A661" s="21"/>
      <c r="B661" s="21"/>
      <c r="C661" s="22"/>
      <c r="D661" s="353"/>
      <c r="E661" s="73"/>
      <c r="F661" s="7"/>
      <c r="G661" s="7"/>
      <c r="H661" s="7"/>
      <c r="I661" s="180"/>
      <c r="J661" s="180"/>
      <c r="K661" s="284"/>
      <c r="L661" s="193"/>
      <c r="M661" s="180"/>
      <c r="N661" s="180"/>
      <c r="O661" s="180"/>
      <c r="P661" s="180"/>
      <c r="Q661" s="180"/>
      <c r="R661" s="180"/>
      <c r="S661" s="24"/>
      <c r="T661" s="182"/>
      <c r="U661" s="24"/>
      <c r="V661" s="32"/>
      <c r="W661" s="240"/>
      <c r="X661" s="64"/>
      <c r="Y661" s="75"/>
      <c r="Z661" s="64"/>
      <c r="AA661" s="64"/>
      <c r="AB661" s="25"/>
      <c r="AC661" s="23"/>
      <c r="AD661" s="23"/>
      <c r="AE661" s="23"/>
      <c r="AF661" s="335"/>
      <c r="AG661" s="336"/>
      <c r="AH661" s="334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</row>
    <row r="662" spans="1:346" s="26" customFormat="1" ht="12" hidden="1" customHeight="1" x14ac:dyDescent="0.25">
      <c r="A662" s="21"/>
      <c r="B662" s="21"/>
      <c r="C662" s="22"/>
      <c r="D662" s="353"/>
      <c r="E662" s="73"/>
      <c r="F662" s="7"/>
      <c r="G662" s="7"/>
      <c r="H662" s="7"/>
      <c r="I662" s="180"/>
      <c r="J662" s="180"/>
      <c r="K662" s="284"/>
      <c r="L662" s="193"/>
      <c r="M662" s="180"/>
      <c r="N662" s="180"/>
      <c r="O662" s="180"/>
      <c r="P662" s="180"/>
      <c r="Q662" s="180"/>
      <c r="R662" s="180"/>
      <c r="S662" s="24"/>
      <c r="T662" s="182"/>
      <c r="U662" s="24"/>
      <c r="V662" s="32"/>
      <c r="W662" s="240"/>
      <c r="X662" s="64"/>
      <c r="Y662" s="75"/>
      <c r="Z662" s="64"/>
      <c r="AA662" s="64"/>
      <c r="AB662" s="25"/>
      <c r="AC662" s="23"/>
      <c r="AD662" s="23"/>
      <c r="AE662" s="23"/>
      <c r="AF662" s="335"/>
      <c r="AG662" s="336"/>
      <c r="AH662" s="334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</row>
    <row r="663" spans="1:346" s="26" customFormat="1" ht="12" hidden="1" customHeight="1" x14ac:dyDescent="0.25">
      <c r="A663" s="21"/>
      <c r="B663" s="21"/>
      <c r="C663" s="22"/>
      <c r="D663" s="353"/>
      <c r="E663" s="73"/>
      <c r="F663" s="7"/>
      <c r="G663" s="7"/>
      <c r="H663" s="7"/>
      <c r="I663" s="180"/>
      <c r="J663" s="180"/>
      <c r="K663" s="284"/>
      <c r="L663" s="193"/>
      <c r="M663" s="180"/>
      <c r="N663" s="180"/>
      <c r="O663" s="180"/>
      <c r="P663" s="180"/>
      <c r="Q663" s="180"/>
      <c r="R663" s="180"/>
      <c r="S663" s="24"/>
      <c r="T663" s="182"/>
      <c r="U663" s="24"/>
      <c r="V663" s="32"/>
      <c r="W663" s="240"/>
      <c r="X663" s="64"/>
      <c r="Y663" s="75"/>
      <c r="Z663" s="64"/>
      <c r="AA663" s="64"/>
      <c r="AB663" s="25"/>
      <c r="AC663" s="23"/>
      <c r="AD663" s="23"/>
      <c r="AE663" s="23"/>
      <c r="AF663" s="335"/>
      <c r="AG663" s="336"/>
      <c r="AH663" s="334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</row>
    <row r="664" spans="1:346" s="26" customFormat="1" ht="12" hidden="1" customHeight="1" x14ac:dyDescent="0.25">
      <c r="A664" s="21"/>
      <c r="B664" s="21"/>
      <c r="C664" s="22"/>
      <c r="D664" s="353"/>
      <c r="E664" s="73"/>
      <c r="F664" s="7"/>
      <c r="G664" s="7"/>
      <c r="H664" s="7"/>
      <c r="I664" s="180"/>
      <c r="J664" s="180"/>
      <c r="K664" s="284"/>
      <c r="L664" s="193"/>
      <c r="M664" s="180"/>
      <c r="N664" s="180"/>
      <c r="O664" s="180"/>
      <c r="P664" s="180"/>
      <c r="Q664" s="180"/>
      <c r="R664" s="180"/>
      <c r="S664" s="24"/>
      <c r="T664" s="182"/>
      <c r="U664" s="24"/>
      <c r="V664" s="32"/>
      <c r="W664" s="240"/>
      <c r="X664" s="64"/>
      <c r="Y664" s="75"/>
      <c r="Z664" s="64"/>
      <c r="AA664" s="64"/>
      <c r="AB664" s="25"/>
      <c r="AC664" s="23"/>
      <c r="AD664" s="23"/>
      <c r="AE664" s="23"/>
      <c r="AF664" s="335"/>
      <c r="AG664" s="336"/>
      <c r="AH664" s="334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</row>
    <row r="665" spans="1:346" s="26" customFormat="1" ht="12" hidden="1" customHeight="1" x14ac:dyDescent="0.25">
      <c r="A665" s="21"/>
      <c r="B665" s="21"/>
      <c r="C665" s="22"/>
      <c r="D665" s="353"/>
      <c r="E665" s="73"/>
      <c r="F665" s="7"/>
      <c r="G665" s="7"/>
      <c r="H665" s="7"/>
      <c r="I665" s="180"/>
      <c r="J665" s="180"/>
      <c r="K665" s="284"/>
      <c r="L665" s="193"/>
      <c r="M665" s="180"/>
      <c r="N665" s="180"/>
      <c r="O665" s="180"/>
      <c r="P665" s="180"/>
      <c r="Q665" s="180"/>
      <c r="R665" s="180"/>
      <c r="S665" s="24"/>
      <c r="T665" s="182"/>
      <c r="U665" s="24"/>
      <c r="V665" s="32"/>
      <c r="W665" s="240"/>
      <c r="X665" s="64"/>
      <c r="Y665" s="75"/>
      <c r="Z665" s="64"/>
      <c r="AA665" s="64"/>
      <c r="AB665" s="25"/>
      <c r="AC665" s="23"/>
      <c r="AD665" s="23"/>
      <c r="AE665" s="23"/>
      <c r="AF665" s="335"/>
      <c r="AG665" s="336"/>
      <c r="AH665" s="334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</row>
    <row r="666" spans="1:346" s="26" customFormat="1" ht="12" hidden="1" customHeight="1" x14ac:dyDescent="0.25">
      <c r="A666" s="21"/>
      <c r="B666" s="21"/>
      <c r="C666" s="22"/>
      <c r="D666" s="353"/>
      <c r="E666" s="73"/>
      <c r="F666" s="7"/>
      <c r="G666" s="7"/>
      <c r="H666" s="7"/>
      <c r="I666" s="180"/>
      <c r="J666" s="180"/>
      <c r="K666" s="284"/>
      <c r="L666" s="193"/>
      <c r="M666" s="180"/>
      <c r="N666" s="180"/>
      <c r="O666" s="180"/>
      <c r="P666" s="180"/>
      <c r="Q666" s="180"/>
      <c r="R666" s="180"/>
      <c r="S666" s="24"/>
      <c r="T666" s="182"/>
      <c r="U666" s="24"/>
      <c r="V666" s="32"/>
      <c r="W666" s="240"/>
      <c r="X666" s="64"/>
      <c r="Y666" s="75"/>
      <c r="Z666" s="64"/>
      <c r="AA666" s="64"/>
      <c r="AB666" s="25"/>
      <c r="AC666" s="23"/>
      <c r="AD666" s="23"/>
      <c r="AE666" s="23"/>
      <c r="AF666" s="335"/>
      <c r="AG666" s="336"/>
      <c r="AH666" s="334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</row>
    <row r="667" spans="1:346" s="26" customFormat="1" ht="12" hidden="1" customHeight="1" x14ac:dyDescent="0.25">
      <c r="A667" s="21"/>
      <c r="B667" s="21"/>
      <c r="C667" s="22"/>
      <c r="D667" s="353"/>
      <c r="E667" s="73"/>
      <c r="F667" s="7"/>
      <c r="G667" s="7"/>
      <c r="H667" s="7"/>
      <c r="I667" s="180"/>
      <c r="J667" s="180"/>
      <c r="K667" s="284"/>
      <c r="L667" s="193"/>
      <c r="M667" s="180"/>
      <c r="N667" s="180"/>
      <c r="O667" s="180"/>
      <c r="P667" s="180"/>
      <c r="Q667" s="180"/>
      <c r="R667" s="180"/>
      <c r="S667" s="24"/>
      <c r="T667" s="182"/>
      <c r="U667" s="24"/>
      <c r="V667" s="32"/>
      <c r="W667" s="240"/>
      <c r="X667" s="64"/>
      <c r="Y667" s="75"/>
      <c r="Z667" s="64"/>
      <c r="AA667" s="64"/>
      <c r="AB667" s="25"/>
      <c r="AC667" s="23"/>
      <c r="AD667" s="23"/>
      <c r="AE667" s="23"/>
      <c r="AF667" s="335"/>
      <c r="AG667" s="336"/>
      <c r="AH667" s="334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</row>
    <row r="668" spans="1:346" s="26" customFormat="1" ht="12" hidden="1" customHeight="1" x14ac:dyDescent="0.25">
      <c r="A668" s="21"/>
      <c r="B668" s="21"/>
      <c r="C668" s="22"/>
      <c r="D668" s="353"/>
      <c r="E668" s="73"/>
      <c r="F668" s="7"/>
      <c r="G668" s="7"/>
      <c r="H668" s="7"/>
      <c r="I668" s="180"/>
      <c r="J668" s="180"/>
      <c r="K668" s="284"/>
      <c r="L668" s="193"/>
      <c r="M668" s="180"/>
      <c r="N668" s="180"/>
      <c r="O668" s="180"/>
      <c r="P668" s="180"/>
      <c r="Q668" s="180"/>
      <c r="R668" s="180"/>
      <c r="S668" s="24"/>
      <c r="T668" s="182"/>
      <c r="U668" s="24"/>
      <c r="V668" s="32"/>
      <c r="W668" s="240"/>
      <c r="X668" s="64"/>
      <c r="Y668" s="75"/>
      <c r="Z668" s="64"/>
      <c r="AA668" s="64"/>
      <c r="AB668" s="25"/>
      <c r="AC668" s="23"/>
      <c r="AD668" s="23"/>
      <c r="AE668" s="23"/>
      <c r="AF668" s="335"/>
      <c r="AG668" s="336"/>
      <c r="AH668" s="334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</row>
    <row r="669" spans="1:346" s="26" customFormat="1" ht="12" hidden="1" customHeight="1" x14ac:dyDescent="0.25">
      <c r="A669" s="21"/>
      <c r="B669" s="21"/>
      <c r="C669" s="22"/>
      <c r="D669" s="353"/>
      <c r="E669" s="73"/>
      <c r="F669" s="7"/>
      <c r="G669" s="7"/>
      <c r="H669" s="7"/>
      <c r="I669" s="180"/>
      <c r="J669" s="180"/>
      <c r="K669" s="284"/>
      <c r="L669" s="193"/>
      <c r="M669" s="180"/>
      <c r="N669" s="180"/>
      <c r="O669" s="180"/>
      <c r="P669" s="180"/>
      <c r="Q669" s="180"/>
      <c r="R669" s="180"/>
      <c r="S669" s="24"/>
      <c r="T669" s="182"/>
      <c r="U669" s="24"/>
      <c r="V669" s="32"/>
      <c r="W669" s="240"/>
      <c r="X669" s="64"/>
      <c r="Y669" s="75"/>
      <c r="Z669" s="64"/>
      <c r="AA669" s="64"/>
      <c r="AB669" s="25"/>
      <c r="AC669" s="23"/>
      <c r="AD669" s="23"/>
      <c r="AE669" s="23"/>
      <c r="AF669" s="335"/>
      <c r="AG669" s="336"/>
      <c r="AH669" s="334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</row>
    <row r="670" spans="1:346" s="26" customFormat="1" ht="12" hidden="1" customHeight="1" x14ac:dyDescent="0.25">
      <c r="A670" s="21"/>
      <c r="B670" s="21"/>
      <c r="C670" s="22"/>
      <c r="D670" s="353"/>
      <c r="E670" s="73"/>
      <c r="F670" s="7"/>
      <c r="G670" s="7"/>
      <c r="H670" s="7"/>
      <c r="I670" s="180"/>
      <c r="J670" s="180"/>
      <c r="K670" s="284"/>
      <c r="L670" s="193"/>
      <c r="M670" s="180"/>
      <c r="N670" s="180"/>
      <c r="O670" s="180"/>
      <c r="P670" s="180"/>
      <c r="Q670" s="180"/>
      <c r="R670" s="180"/>
      <c r="S670" s="24"/>
      <c r="T670" s="182"/>
      <c r="U670" s="24"/>
      <c r="V670" s="32"/>
      <c r="W670" s="240"/>
      <c r="X670" s="64"/>
      <c r="Y670" s="75"/>
      <c r="Z670" s="64"/>
      <c r="AA670" s="64"/>
      <c r="AB670" s="25"/>
      <c r="AC670" s="23"/>
      <c r="AD670" s="23"/>
      <c r="AE670" s="23"/>
      <c r="AF670" s="335"/>
      <c r="AG670" s="336"/>
      <c r="AH670" s="334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</row>
    <row r="671" spans="1:346" s="26" customFormat="1" ht="12" hidden="1" customHeight="1" x14ac:dyDescent="0.25">
      <c r="A671" s="21"/>
      <c r="B671" s="21"/>
      <c r="C671" s="22"/>
      <c r="D671" s="353"/>
      <c r="E671" s="73"/>
      <c r="F671" s="7"/>
      <c r="G671" s="7"/>
      <c r="H671" s="7"/>
      <c r="I671" s="180"/>
      <c r="J671" s="180"/>
      <c r="K671" s="284"/>
      <c r="L671" s="193"/>
      <c r="M671" s="180"/>
      <c r="N671" s="180"/>
      <c r="O671" s="180"/>
      <c r="P671" s="180"/>
      <c r="Q671" s="180"/>
      <c r="R671" s="180"/>
      <c r="S671" s="24"/>
      <c r="T671" s="182"/>
      <c r="U671" s="24"/>
      <c r="V671" s="32"/>
      <c r="W671" s="240"/>
      <c r="X671" s="64"/>
      <c r="Y671" s="75"/>
      <c r="Z671" s="64"/>
      <c r="AA671" s="64"/>
      <c r="AB671" s="25"/>
      <c r="AC671" s="23"/>
      <c r="AD671" s="23"/>
      <c r="AE671" s="23"/>
      <c r="AF671" s="335"/>
      <c r="AG671" s="336"/>
      <c r="AH671" s="334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</row>
    <row r="672" spans="1:346" s="26" customFormat="1" ht="12" hidden="1" customHeight="1" x14ac:dyDescent="0.25">
      <c r="A672" s="21"/>
      <c r="B672" s="21"/>
      <c r="C672" s="22"/>
      <c r="D672" s="353"/>
      <c r="E672" s="73"/>
      <c r="F672" s="7"/>
      <c r="G672" s="7"/>
      <c r="H672" s="7"/>
      <c r="I672" s="180"/>
      <c r="J672" s="180"/>
      <c r="K672" s="284"/>
      <c r="L672" s="193"/>
      <c r="M672" s="180"/>
      <c r="N672" s="180"/>
      <c r="O672" s="180"/>
      <c r="P672" s="180"/>
      <c r="Q672" s="180"/>
      <c r="R672" s="180"/>
      <c r="S672" s="24"/>
      <c r="T672" s="182"/>
      <c r="U672" s="24"/>
      <c r="V672" s="32"/>
      <c r="W672" s="240"/>
      <c r="X672" s="64"/>
      <c r="Y672" s="75"/>
      <c r="Z672" s="64"/>
      <c r="AA672" s="64"/>
      <c r="AB672" s="25"/>
      <c r="AC672" s="23"/>
      <c r="AD672" s="23"/>
      <c r="AE672" s="23"/>
      <c r="AF672" s="335"/>
      <c r="AG672" s="336"/>
      <c r="AH672" s="334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</row>
    <row r="673" spans="1:346" s="26" customFormat="1" ht="12" hidden="1" customHeight="1" x14ac:dyDescent="0.25">
      <c r="A673" s="21"/>
      <c r="B673" s="21"/>
      <c r="C673" s="22"/>
      <c r="D673" s="353"/>
      <c r="E673" s="73"/>
      <c r="F673" s="7"/>
      <c r="G673" s="7"/>
      <c r="H673" s="7"/>
      <c r="I673" s="180"/>
      <c r="J673" s="180"/>
      <c r="K673" s="284"/>
      <c r="L673" s="193"/>
      <c r="M673" s="180"/>
      <c r="N673" s="180"/>
      <c r="O673" s="180"/>
      <c r="P673" s="180"/>
      <c r="Q673" s="180"/>
      <c r="R673" s="180"/>
      <c r="S673" s="24"/>
      <c r="T673" s="182"/>
      <c r="U673" s="24"/>
      <c r="V673" s="32"/>
      <c r="W673" s="240"/>
      <c r="X673" s="64"/>
      <c r="Y673" s="75"/>
      <c r="Z673" s="64"/>
      <c r="AA673" s="64"/>
      <c r="AB673" s="25"/>
      <c r="AC673" s="23"/>
      <c r="AD673" s="23"/>
      <c r="AE673" s="23"/>
      <c r="AF673" s="335"/>
      <c r="AG673" s="336"/>
      <c r="AH673" s="334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</row>
    <row r="674" spans="1:346" s="26" customFormat="1" ht="12" hidden="1" customHeight="1" x14ac:dyDescent="0.25">
      <c r="A674" s="21"/>
      <c r="B674" s="21"/>
      <c r="C674" s="22"/>
      <c r="D674" s="353"/>
      <c r="E674" s="73"/>
      <c r="F674" s="7"/>
      <c r="G674" s="7"/>
      <c r="H674" s="7"/>
      <c r="I674" s="180"/>
      <c r="J674" s="180"/>
      <c r="K674" s="284"/>
      <c r="L674" s="193"/>
      <c r="M674" s="180"/>
      <c r="N674" s="180"/>
      <c r="O674" s="180"/>
      <c r="P674" s="180"/>
      <c r="Q674" s="180"/>
      <c r="R674" s="180"/>
      <c r="S674" s="24"/>
      <c r="T674" s="182"/>
      <c r="U674" s="24"/>
      <c r="V674" s="32"/>
      <c r="W674" s="240"/>
      <c r="X674" s="64"/>
      <c r="Y674" s="75"/>
      <c r="Z674" s="64"/>
      <c r="AA674" s="64"/>
      <c r="AB674" s="25"/>
      <c r="AC674" s="23"/>
      <c r="AD674" s="23"/>
      <c r="AE674" s="23"/>
      <c r="AF674" s="335"/>
      <c r="AG674" s="336"/>
      <c r="AH674" s="334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</row>
    <row r="675" spans="1:346" s="26" customFormat="1" ht="12" hidden="1" customHeight="1" x14ac:dyDescent="0.25">
      <c r="A675" s="21"/>
      <c r="B675" s="21"/>
      <c r="C675" s="22"/>
      <c r="D675" s="353"/>
      <c r="E675" s="73"/>
      <c r="F675" s="7"/>
      <c r="G675" s="7"/>
      <c r="H675" s="7"/>
      <c r="I675" s="180"/>
      <c r="J675" s="180"/>
      <c r="K675" s="284"/>
      <c r="L675" s="193"/>
      <c r="M675" s="180"/>
      <c r="N675" s="180"/>
      <c r="O675" s="180"/>
      <c r="P675" s="180"/>
      <c r="Q675" s="180"/>
      <c r="R675" s="180"/>
      <c r="S675" s="24"/>
      <c r="T675" s="182"/>
      <c r="U675" s="24"/>
      <c r="V675" s="32"/>
      <c r="W675" s="240"/>
      <c r="X675" s="64"/>
      <c r="Y675" s="75"/>
      <c r="Z675" s="64"/>
      <c r="AA675" s="64"/>
      <c r="AB675" s="25"/>
      <c r="AC675" s="23"/>
      <c r="AD675" s="23"/>
      <c r="AE675" s="23"/>
      <c r="AF675" s="335"/>
      <c r="AG675" s="336"/>
      <c r="AH675" s="334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</row>
    <row r="676" spans="1:346" s="26" customFormat="1" ht="12" hidden="1" customHeight="1" x14ac:dyDescent="0.25">
      <c r="A676" s="21"/>
      <c r="B676" s="21"/>
      <c r="C676" s="22"/>
      <c r="D676" s="353"/>
      <c r="E676" s="73"/>
      <c r="F676" s="7"/>
      <c r="G676" s="7"/>
      <c r="H676" s="7"/>
      <c r="I676" s="180"/>
      <c r="J676" s="180"/>
      <c r="K676" s="284"/>
      <c r="L676" s="193"/>
      <c r="M676" s="180"/>
      <c r="N676" s="180"/>
      <c r="O676" s="180"/>
      <c r="P676" s="180"/>
      <c r="Q676" s="180"/>
      <c r="R676" s="180"/>
      <c r="S676" s="24"/>
      <c r="T676" s="182"/>
      <c r="U676" s="24"/>
      <c r="V676" s="32"/>
      <c r="W676" s="240"/>
      <c r="X676" s="64"/>
      <c r="Y676" s="75"/>
      <c r="Z676" s="64"/>
      <c r="AA676" s="64"/>
      <c r="AB676" s="25"/>
      <c r="AC676" s="23"/>
      <c r="AD676" s="23"/>
      <c r="AE676" s="23"/>
      <c r="AF676" s="335"/>
      <c r="AG676" s="336"/>
      <c r="AH676" s="334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</row>
    <row r="677" spans="1:346" s="26" customFormat="1" ht="12" hidden="1" customHeight="1" x14ac:dyDescent="0.25">
      <c r="A677" s="21"/>
      <c r="B677" s="21"/>
      <c r="C677" s="22"/>
      <c r="D677" s="353"/>
      <c r="E677" s="73"/>
      <c r="F677" s="7"/>
      <c r="G677" s="7"/>
      <c r="H677" s="7"/>
      <c r="I677" s="180"/>
      <c r="J677" s="180"/>
      <c r="K677" s="284"/>
      <c r="L677" s="193"/>
      <c r="M677" s="180"/>
      <c r="N677" s="180"/>
      <c r="O677" s="180"/>
      <c r="P677" s="180"/>
      <c r="Q677" s="180"/>
      <c r="R677" s="180"/>
      <c r="S677" s="24"/>
      <c r="T677" s="182"/>
      <c r="U677" s="24"/>
      <c r="V677" s="32"/>
      <c r="W677" s="240"/>
      <c r="X677" s="64"/>
      <c r="Y677" s="75"/>
      <c r="Z677" s="64"/>
      <c r="AA677" s="64"/>
      <c r="AB677" s="25"/>
      <c r="AC677" s="23"/>
      <c r="AD677" s="23"/>
      <c r="AE677" s="23"/>
      <c r="AF677" s="335"/>
      <c r="AG677" s="336"/>
      <c r="AH677" s="334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</row>
    <row r="678" spans="1:346" s="26" customFormat="1" ht="12" hidden="1" customHeight="1" x14ac:dyDescent="0.25">
      <c r="A678" s="21"/>
      <c r="B678" s="21"/>
      <c r="C678" s="22"/>
      <c r="D678" s="353"/>
      <c r="E678" s="73"/>
      <c r="F678" s="7"/>
      <c r="G678" s="7"/>
      <c r="H678" s="7"/>
      <c r="I678" s="180"/>
      <c r="J678" s="180"/>
      <c r="K678" s="284"/>
      <c r="L678" s="193"/>
      <c r="M678" s="180"/>
      <c r="N678" s="180"/>
      <c r="O678" s="180"/>
      <c r="P678" s="180"/>
      <c r="Q678" s="180"/>
      <c r="R678" s="180"/>
      <c r="S678" s="24"/>
      <c r="T678" s="182"/>
      <c r="U678" s="24"/>
      <c r="V678" s="32"/>
      <c r="W678" s="240"/>
      <c r="X678" s="64"/>
      <c r="Y678" s="75"/>
      <c r="Z678" s="64"/>
      <c r="AA678" s="64"/>
      <c r="AB678" s="25"/>
      <c r="AC678" s="23"/>
      <c r="AD678" s="23"/>
      <c r="AE678" s="23"/>
      <c r="AF678" s="335"/>
      <c r="AG678" s="336"/>
      <c r="AH678" s="334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</row>
    <row r="679" spans="1:346" s="26" customFormat="1" ht="12" hidden="1" customHeight="1" x14ac:dyDescent="0.25">
      <c r="A679" s="21"/>
      <c r="B679" s="21"/>
      <c r="C679" s="22"/>
      <c r="D679" s="353"/>
      <c r="E679" s="73"/>
      <c r="F679" s="7"/>
      <c r="G679" s="7"/>
      <c r="H679" s="7"/>
      <c r="I679" s="180"/>
      <c r="J679" s="180"/>
      <c r="K679" s="284"/>
      <c r="L679" s="193"/>
      <c r="M679" s="180"/>
      <c r="N679" s="180"/>
      <c r="O679" s="180"/>
      <c r="P679" s="180"/>
      <c r="Q679" s="180"/>
      <c r="R679" s="180"/>
      <c r="S679" s="24"/>
      <c r="T679" s="182"/>
      <c r="U679" s="24"/>
      <c r="V679" s="32"/>
      <c r="W679" s="240"/>
      <c r="X679" s="64"/>
      <c r="Y679" s="75"/>
      <c r="Z679" s="64"/>
      <c r="AA679" s="64"/>
      <c r="AB679" s="25"/>
      <c r="AC679" s="23"/>
      <c r="AD679" s="23"/>
      <c r="AE679" s="23"/>
      <c r="AF679" s="335"/>
      <c r="AG679" s="336"/>
      <c r="AH679" s="334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</row>
    <row r="680" spans="1:346" s="26" customFormat="1" ht="12" hidden="1" customHeight="1" x14ac:dyDescent="0.25">
      <c r="A680" s="21"/>
      <c r="B680" s="21"/>
      <c r="C680" s="22"/>
      <c r="D680" s="353"/>
      <c r="E680" s="73"/>
      <c r="F680" s="7"/>
      <c r="G680" s="7"/>
      <c r="H680" s="7"/>
      <c r="I680" s="180"/>
      <c r="J680" s="180"/>
      <c r="K680" s="284"/>
      <c r="L680" s="193"/>
      <c r="M680" s="180"/>
      <c r="N680" s="180"/>
      <c r="O680" s="180"/>
      <c r="P680" s="180"/>
      <c r="Q680" s="180"/>
      <c r="R680" s="180"/>
      <c r="S680" s="24"/>
      <c r="T680" s="182"/>
      <c r="U680" s="24"/>
      <c r="V680" s="32"/>
      <c r="W680" s="240"/>
      <c r="X680" s="64"/>
      <c r="Y680" s="75"/>
      <c r="Z680" s="64"/>
      <c r="AA680" s="64"/>
      <c r="AB680" s="25"/>
      <c r="AC680" s="23"/>
      <c r="AD680" s="23"/>
      <c r="AE680" s="23"/>
      <c r="AF680" s="335"/>
      <c r="AG680" s="336"/>
      <c r="AH680" s="334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</row>
    <row r="681" spans="1:346" s="26" customFormat="1" ht="12" hidden="1" customHeight="1" x14ac:dyDescent="0.25">
      <c r="A681" s="21"/>
      <c r="B681" s="21"/>
      <c r="C681" s="22"/>
      <c r="D681" s="353"/>
      <c r="E681" s="73"/>
      <c r="F681" s="7"/>
      <c r="G681" s="7"/>
      <c r="H681" s="7"/>
      <c r="I681" s="180"/>
      <c r="J681" s="180"/>
      <c r="K681" s="284"/>
      <c r="L681" s="193"/>
      <c r="M681" s="180"/>
      <c r="N681" s="180"/>
      <c r="O681" s="180"/>
      <c r="P681" s="180"/>
      <c r="Q681" s="180"/>
      <c r="R681" s="180"/>
      <c r="S681" s="24"/>
      <c r="T681" s="182"/>
      <c r="U681" s="24"/>
      <c r="V681" s="32"/>
      <c r="W681" s="240"/>
      <c r="X681" s="64"/>
      <c r="Y681" s="75"/>
      <c r="Z681" s="64"/>
      <c r="AA681" s="64"/>
      <c r="AB681" s="25"/>
      <c r="AC681" s="23"/>
      <c r="AD681" s="23"/>
      <c r="AE681" s="23"/>
      <c r="AF681" s="335"/>
      <c r="AG681" s="336"/>
      <c r="AH681" s="334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</row>
    <row r="682" spans="1:346" s="26" customFormat="1" ht="12" hidden="1" customHeight="1" x14ac:dyDescent="0.25">
      <c r="A682" s="21"/>
      <c r="B682" s="21"/>
      <c r="C682" s="22"/>
      <c r="D682" s="353"/>
      <c r="E682" s="73"/>
      <c r="F682" s="7"/>
      <c r="G682" s="7"/>
      <c r="H682" s="7"/>
      <c r="I682" s="180"/>
      <c r="J682" s="180"/>
      <c r="K682" s="284"/>
      <c r="L682" s="193"/>
      <c r="M682" s="180"/>
      <c r="N682" s="180"/>
      <c r="O682" s="180"/>
      <c r="P682" s="180"/>
      <c r="Q682" s="180"/>
      <c r="R682" s="180"/>
      <c r="S682" s="24"/>
      <c r="T682" s="182"/>
      <c r="U682" s="24"/>
      <c r="V682" s="32"/>
      <c r="W682" s="240"/>
      <c r="X682" s="64"/>
      <c r="Y682" s="75"/>
      <c r="Z682" s="64"/>
      <c r="AA682" s="64"/>
      <c r="AB682" s="25"/>
      <c r="AC682" s="23"/>
      <c r="AD682" s="23"/>
      <c r="AE682" s="23"/>
      <c r="AF682" s="335"/>
      <c r="AG682" s="336"/>
      <c r="AH682" s="334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</row>
    <row r="683" spans="1:346" s="26" customFormat="1" ht="12" hidden="1" customHeight="1" x14ac:dyDescent="0.25">
      <c r="A683" s="21"/>
      <c r="B683" s="21"/>
      <c r="C683" s="22"/>
      <c r="D683" s="353"/>
      <c r="E683" s="73"/>
      <c r="F683" s="7"/>
      <c r="G683" s="7"/>
      <c r="H683" s="7"/>
      <c r="I683" s="180"/>
      <c r="J683" s="180"/>
      <c r="K683" s="284"/>
      <c r="L683" s="193"/>
      <c r="M683" s="180"/>
      <c r="N683" s="180"/>
      <c r="O683" s="180"/>
      <c r="P683" s="180"/>
      <c r="Q683" s="180"/>
      <c r="R683" s="180"/>
      <c r="S683" s="24"/>
      <c r="T683" s="182"/>
      <c r="U683" s="24"/>
      <c r="V683" s="32"/>
      <c r="W683" s="240"/>
      <c r="X683" s="64"/>
      <c r="Y683" s="75"/>
      <c r="Z683" s="64"/>
      <c r="AA683" s="64"/>
      <c r="AB683" s="25"/>
      <c r="AC683" s="23"/>
      <c r="AD683" s="23"/>
      <c r="AE683" s="23"/>
      <c r="AF683" s="335"/>
      <c r="AG683" s="336"/>
      <c r="AH683" s="334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</row>
    <row r="684" spans="1:346" s="26" customFormat="1" ht="12" hidden="1" customHeight="1" x14ac:dyDescent="0.25">
      <c r="A684" s="21"/>
      <c r="B684" s="21"/>
      <c r="C684" s="22"/>
      <c r="D684" s="353"/>
      <c r="E684" s="73"/>
      <c r="F684" s="7"/>
      <c r="G684" s="7"/>
      <c r="H684" s="7"/>
      <c r="I684" s="180"/>
      <c r="J684" s="180"/>
      <c r="K684" s="284"/>
      <c r="L684" s="193"/>
      <c r="M684" s="180"/>
      <c r="N684" s="180"/>
      <c r="O684" s="180"/>
      <c r="P684" s="180"/>
      <c r="Q684" s="180"/>
      <c r="R684" s="180"/>
      <c r="S684" s="24"/>
      <c r="T684" s="182"/>
      <c r="U684" s="24"/>
      <c r="V684" s="32"/>
      <c r="W684" s="240"/>
      <c r="X684" s="64"/>
      <c r="Y684" s="75"/>
      <c r="Z684" s="64"/>
      <c r="AA684" s="64"/>
      <c r="AB684" s="25"/>
      <c r="AC684" s="23"/>
      <c r="AD684" s="23"/>
      <c r="AE684" s="23"/>
      <c r="AF684" s="335"/>
      <c r="AG684" s="336"/>
      <c r="AH684" s="334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</row>
    <row r="685" spans="1:346" s="26" customFormat="1" ht="12" hidden="1" customHeight="1" x14ac:dyDescent="0.25">
      <c r="A685" s="21"/>
      <c r="B685" s="21"/>
      <c r="C685" s="22"/>
      <c r="D685" s="353"/>
      <c r="E685" s="73"/>
      <c r="F685" s="7"/>
      <c r="G685" s="7"/>
      <c r="H685" s="7"/>
      <c r="I685" s="180"/>
      <c r="J685" s="180"/>
      <c r="K685" s="284"/>
      <c r="L685" s="193"/>
      <c r="M685" s="180"/>
      <c r="N685" s="180"/>
      <c r="O685" s="180"/>
      <c r="P685" s="180"/>
      <c r="Q685" s="180"/>
      <c r="R685" s="180"/>
      <c r="S685" s="24"/>
      <c r="T685" s="182"/>
      <c r="U685" s="24"/>
      <c r="V685" s="32"/>
      <c r="W685" s="240"/>
      <c r="X685" s="64"/>
      <c r="Y685" s="75"/>
      <c r="Z685" s="64"/>
      <c r="AA685" s="64"/>
      <c r="AB685" s="25"/>
      <c r="AC685" s="23"/>
      <c r="AD685" s="23"/>
      <c r="AE685" s="23"/>
      <c r="AF685" s="335"/>
      <c r="AG685" s="336"/>
      <c r="AH685" s="334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</row>
    <row r="686" spans="1:346" s="26" customFormat="1" ht="12" hidden="1" customHeight="1" x14ac:dyDescent="0.25">
      <c r="A686" s="21"/>
      <c r="B686" s="21"/>
      <c r="C686" s="22"/>
      <c r="D686" s="353"/>
      <c r="E686" s="73"/>
      <c r="F686" s="7"/>
      <c r="G686" s="7"/>
      <c r="H686" s="7"/>
      <c r="I686" s="180"/>
      <c r="J686" s="180"/>
      <c r="K686" s="284"/>
      <c r="L686" s="193"/>
      <c r="M686" s="180"/>
      <c r="N686" s="180"/>
      <c r="O686" s="180"/>
      <c r="P686" s="180"/>
      <c r="Q686" s="180"/>
      <c r="R686" s="180"/>
      <c r="S686" s="24"/>
      <c r="T686" s="182"/>
      <c r="U686" s="24"/>
      <c r="V686" s="32"/>
      <c r="W686" s="240"/>
      <c r="X686" s="64"/>
      <c r="Y686" s="75"/>
      <c r="Z686" s="64"/>
      <c r="AA686" s="64"/>
      <c r="AB686" s="25"/>
      <c r="AC686" s="23"/>
      <c r="AD686" s="23"/>
      <c r="AE686" s="23"/>
      <c r="AF686" s="335"/>
      <c r="AG686" s="336"/>
      <c r="AH686" s="334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</row>
    <row r="687" spans="1:346" s="26" customFormat="1" ht="12" hidden="1" customHeight="1" x14ac:dyDescent="0.25">
      <c r="A687" s="21"/>
      <c r="B687" s="21"/>
      <c r="C687" s="22"/>
      <c r="D687" s="353"/>
      <c r="E687" s="73"/>
      <c r="F687" s="7"/>
      <c r="G687" s="7"/>
      <c r="H687" s="7"/>
      <c r="I687" s="180"/>
      <c r="J687" s="180"/>
      <c r="K687" s="284"/>
      <c r="L687" s="193"/>
      <c r="M687" s="180"/>
      <c r="N687" s="180"/>
      <c r="O687" s="180"/>
      <c r="P687" s="180"/>
      <c r="Q687" s="180"/>
      <c r="R687" s="180"/>
      <c r="S687" s="24"/>
      <c r="T687" s="182"/>
      <c r="U687" s="24"/>
      <c r="V687" s="32"/>
      <c r="W687" s="240"/>
      <c r="X687" s="64"/>
      <c r="Y687" s="75"/>
      <c r="Z687" s="64"/>
      <c r="AA687" s="64"/>
      <c r="AB687" s="25"/>
      <c r="AC687" s="23"/>
      <c r="AD687" s="23"/>
      <c r="AE687" s="23"/>
      <c r="AF687" s="335"/>
      <c r="AG687" s="336"/>
      <c r="AH687" s="334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</row>
    <row r="688" spans="1:346" s="26" customFormat="1" ht="12" hidden="1" customHeight="1" x14ac:dyDescent="0.25">
      <c r="A688" s="21"/>
      <c r="B688" s="21"/>
      <c r="C688" s="22"/>
      <c r="D688" s="353"/>
      <c r="E688" s="73"/>
      <c r="F688" s="7"/>
      <c r="G688" s="7"/>
      <c r="H688" s="7"/>
      <c r="I688" s="180"/>
      <c r="J688" s="180"/>
      <c r="K688" s="284"/>
      <c r="L688" s="193"/>
      <c r="M688" s="180"/>
      <c r="N688" s="180"/>
      <c r="O688" s="180"/>
      <c r="P688" s="180"/>
      <c r="Q688" s="180"/>
      <c r="R688" s="180"/>
      <c r="S688" s="24"/>
      <c r="T688" s="182"/>
      <c r="U688" s="24"/>
      <c r="V688" s="32"/>
      <c r="W688" s="240"/>
      <c r="X688" s="64"/>
      <c r="Y688" s="75"/>
      <c r="Z688" s="64"/>
      <c r="AA688" s="64"/>
      <c r="AB688" s="25"/>
      <c r="AC688" s="23"/>
      <c r="AD688" s="23"/>
      <c r="AE688" s="23"/>
      <c r="AF688" s="335"/>
      <c r="AG688" s="336"/>
      <c r="AH688" s="334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</row>
    <row r="689" spans="1:346" s="26" customFormat="1" ht="12" hidden="1" customHeight="1" x14ac:dyDescent="0.25">
      <c r="A689" s="21"/>
      <c r="B689" s="21"/>
      <c r="C689" s="22"/>
      <c r="D689" s="353"/>
      <c r="E689" s="73"/>
      <c r="F689" s="7"/>
      <c r="G689" s="7"/>
      <c r="H689" s="7"/>
      <c r="I689" s="180"/>
      <c r="J689" s="180"/>
      <c r="K689" s="284"/>
      <c r="L689" s="193"/>
      <c r="M689" s="180"/>
      <c r="N689" s="180"/>
      <c r="O689" s="180"/>
      <c r="P689" s="180"/>
      <c r="Q689" s="180"/>
      <c r="R689" s="180"/>
      <c r="S689" s="24"/>
      <c r="T689" s="182"/>
      <c r="U689" s="24"/>
      <c r="V689" s="32"/>
      <c r="W689" s="240"/>
      <c r="X689" s="64"/>
      <c r="Y689" s="75"/>
      <c r="Z689" s="64"/>
      <c r="AA689" s="64"/>
      <c r="AB689" s="25"/>
      <c r="AC689" s="23"/>
      <c r="AD689" s="23"/>
      <c r="AE689" s="23"/>
      <c r="AF689" s="335"/>
      <c r="AG689" s="336"/>
      <c r="AH689" s="334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</row>
    <row r="690" spans="1:346" s="26" customFormat="1" ht="12" hidden="1" customHeight="1" x14ac:dyDescent="0.25">
      <c r="A690" s="21"/>
      <c r="B690" s="21"/>
      <c r="C690" s="22"/>
      <c r="D690" s="353"/>
      <c r="E690" s="73"/>
      <c r="F690" s="7"/>
      <c r="G690" s="7"/>
      <c r="H690" s="7"/>
      <c r="I690" s="180"/>
      <c r="J690" s="180"/>
      <c r="K690" s="284"/>
      <c r="L690" s="193"/>
      <c r="M690" s="180"/>
      <c r="N690" s="180"/>
      <c r="O690" s="180"/>
      <c r="P690" s="180"/>
      <c r="Q690" s="180"/>
      <c r="R690" s="180"/>
      <c r="S690" s="24"/>
      <c r="T690" s="182"/>
      <c r="U690" s="24"/>
      <c r="V690" s="32"/>
      <c r="W690" s="240"/>
      <c r="X690" s="64"/>
      <c r="Y690" s="75"/>
      <c r="Z690" s="64"/>
      <c r="AA690" s="64"/>
      <c r="AB690" s="25"/>
      <c r="AC690" s="23"/>
      <c r="AD690" s="23"/>
      <c r="AE690" s="23"/>
      <c r="AF690" s="335"/>
      <c r="AG690" s="336"/>
      <c r="AH690" s="334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</row>
    <row r="691" spans="1:346" s="26" customFormat="1" ht="12" hidden="1" customHeight="1" x14ac:dyDescent="0.25">
      <c r="A691" s="21"/>
      <c r="B691" s="21"/>
      <c r="C691" s="22"/>
      <c r="D691" s="353"/>
      <c r="E691" s="73"/>
      <c r="F691" s="7"/>
      <c r="G691" s="7"/>
      <c r="H691" s="7"/>
      <c r="I691" s="180"/>
      <c r="J691" s="180"/>
      <c r="K691" s="284"/>
      <c r="L691" s="193"/>
      <c r="M691" s="180"/>
      <c r="N691" s="180"/>
      <c r="O691" s="180"/>
      <c r="P691" s="180"/>
      <c r="Q691" s="180"/>
      <c r="R691" s="180"/>
      <c r="S691" s="24"/>
      <c r="T691" s="182"/>
      <c r="U691" s="24"/>
      <c r="V691" s="32"/>
      <c r="W691" s="240"/>
      <c r="X691" s="64"/>
      <c r="Y691" s="75"/>
      <c r="Z691" s="64"/>
      <c r="AA691" s="64"/>
      <c r="AB691" s="25"/>
      <c r="AC691" s="23"/>
      <c r="AD691" s="23"/>
      <c r="AE691" s="23"/>
      <c r="AF691" s="335"/>
      <c r="AG691" s="336"/>
      <c r="AH691" s="334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</row>
    <row r="692" spans="1:346" s="26" customFormat="1" ht="12" hidden="1" customHeight="1" x14ac:dyDescent="0.25">
      <c r="A692" s="21"/>
      <c r="B692" s="21"/>
      <c r="C692" s="22"/>
      <c r="D692" s="353"/>
      <c r="E692" s="73"/>
      <c r="F692" s="7"/>
      <c r="G692" s="7"/>
      <c r="H692" s="7"/>
      <c r="I692" s="180"/>
      <c r="J692" s="180"/>
      <c r="K692" s="284"/>
      <c r="L692" s="193"/>
      <c r="M692" s="180"/>
      <c r="N692" s="180"/>
      <c r="O692" s="180"/>
      <c r="P692" s="180"/>
      <c r="Q692" s="180"/>
      <c r="R692" s="180"/>
      <c r="S692" s="24"/>
      <c r="T692" s="182"/>
      <c r="U692" s="24"/>
      <c r="V692" s="32"/>
      <c r="W692" s="240"/>
      <c r="X692" s="64"/>
      <c r="Y692" s="75"/>
      <c r="Z692" s="64"/>
      <c r="AA692" s="64"/>
      <c r="AB692" s="25"/>
      <c r="AC692" s="23"/>
      <c r="AD692" s="23"/>
      <c r="AE692" s="23"/>
      <c r="AF692" s="335"/>
      <c r="AG692" s="336"/>
      <c r="AH692" s="334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</row>
    <row r="693" spans="1:346" s="26" customFormat="1" ht="12" hidden="1" customHeight="1" x14ac:dyDescent="0.25">
      <c r="A693" s="21"/>
      <c r="B693" s="21"/>
      <c r="C693" s="22"/>
      <c r="D693" s="353"/>
      <c r="E693" s="73"/>
      <c r="F693" s="7"/>
      <c r="G693" s="7"/>
      <c r="H693" s="7"/>
      <c r="I693" s="180"/>
      <c r="J693" s="180"/>
      <c r="K693" s="284"/>
      <c r="L693" s="193"/>
      <c r="M693" s="180"/>
      <c r="N693" s="180"/>
      <c r="O693" s="180"/>
      <c r="P693" s="180"/>
      <c r="Q693" s="180"/>
      <c r="R693" s="180"/>
      <c r="S693" s="24"/>
      <c r="T693" s="182"/>
      <c r="U693" s="24"/>
      <c r="V693" s="32"/>
      <c r="W693" s="240"/>
      <c r="X693" s="64"/>
      <c r="Y693" s="75"/>
      <c r="Z693" s="64"/>
      <c r="AA693" s="64"/>
      <c r="AB693" s="25"/>
      <c r="AC693" s="23"/>
      <c r="AD693" s="23"/>
      <c r="AE693" s="23"/>
      <c r="AF693" s="335"/>
      <c r="AG693" s="336"/>
      <c r="AH693" s="334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</row>
    <row r="694" spans="1:346" s="26" customFormat="1" ht="12" hidden="1" customHeight="1" x14ac:dyDescent="0.25">
      <c r="A694" s="21"/>
      <c r="B694" s="21"/>
      <c r="C694" s="22"/>
      <c r="D694" s="353"/>
      <c r="E694" s="73"/>
      <c r="F694" s="7"/>
      <c r="G694" s="7"/>
      <c r="H694" s="7"/>
      <c r="I694" s="180"/>
      <c r="J694" s="180"/>
      <c r="K694" s="284"/>
      <c r="L694" s="193"/>
      <c r="M694" s="180"/>
      <c r="N694" s="180"/>
      <c r="O694" s="180"/>
      <c r="P694" s="180"/>
      <c r="Q694" s="180"/>
      <c r="R694" s="180"/>
      <c r="S694" s="24"/>
      <c r="T694" s="182"/>
      <c r="U694" s="24"/>
      <c r="V694" s="32"/>
      <c r="W694" s="240"/>
      <c r="X694" s="64"/>
      <c r="Y694" s="75"/>
      <c r="Z694" s="64"/>
      <c r="AA694" s="64"/>
      <c r="AB694" s="25"/>
      <c r="AC694" s="23"/>
      <c r="AD694" s="23"/>
      <c r="AE694" s="23"/>
      <c r="AF694" s="335"/>
      <c r="AG694" s="336"/>
      <c r="AH694" s="334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</row>
    <row r="695" spans="1:346" s="26" customFormat="1" ht="12" hidden="1" customHeight="1" x14ac:dyDescent="0.25">
      <c r="A695" s="21"/>
      <c r="B695" s="21"/>
      <c r="C695" s="22"/>
      <c r="D695" s="353"/>
      <c r="E695" s="73"/>
      <c r="F695" s="7"/>
      <c r="G695" s="7"/>
      <c r="H695" s="7"/>
      <c r="I695" s="180"/>
      <c r="J695" s="180"/>
      <c r="K695" s="284"/>
      <c r="L695" s="193"/>
      <c r="M695" s="180"/>
      <c r="N695" s="180"/>
      <c r="O695" s="180"/>
      <c r="P695" s="180"/>
      <c r="Q695" s="180"/>
      <c r="R695" s="180"/>
      <c r="S695" s="24"/>
      <c r="T695" s="182"/>
      <c r="U695" s="24"/>
      <c r="V695" s="32"/>
      <c r="W695" s="240"/>
      <c r="X695" s="64"/>
      <c r="Y695" s="75"/>
      <c r="Z695" s="64"/>
      <c r="AA695" s="64"/>
      <c r="AB695" s="25"/>
      <c r="AC695" s="23"/>
      <c r="AD695" s="23"/>
      <c r="AE695" s="23"/>
      <c r="AF695" s="335"/>
      <c r="AG695" s="336"/>
      <c r="AH695" s="334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</row>
    <row r="696" spans="1:346" s="26" customFormat="1" ht="12" hidden="1" customHeight="1" x14ac:dyDescent="0.25">
      <c r="A696" s="21"/>
      <c r="B696" s="21"/>
      <c r="C696" s="22"/>
      <c r="D696" s="353"/>
      <c r="E696" s="73"/>
      <c r="F696" s="7"/>
      <c r="G696" s="7"/>
      <c r="H696" s="7"/>
      <c r="I696" s="180"/>
      <c r="J696" s="180"/>
      <c r="K696" s="284"/>
      <c r="L696" s="193"/>
      <c r="M696" s="180"/>
      <c r="N696" s="180"/>
      <c r="O696" s="180"/>
      <c r="P696" s="180"/>
      <c r="Q696" s="180"/>
      <c r="R696" s="180"/>
      <c r="S696" s="24"/>
      <c r="T696" s="182"/>
      <c r="U696" s="24"/>
      <c r="V696" s="32"/>
      <c r="W696" s="240"/>
      <c r="X696" s="64"/>
      <c r="Y696" s="75"/>
      <c r="Z696" s="64"/>
      <c r="AA696" s="64"/>
      <c r="AB696" s="25"/>
      <c r="AC696" s="23"/>
      <c r="AD696" s="23"/>
      <c r="AE696" s="23"/>
      <c r="AF696" s="335"/>
      <c r="AG696" s="336"/>
      <c r="AH696" s="334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</row>
    <row r="697" spans="1:346" s="26" customFormat="1" ht="12" hidden="1" customHeight="1" x14ac:dyDescent="0.25">
      <c r="A697" s="21"/>
      <c r="B697" s="21"/>
      <c r="C697" s="22"/>
      <c r="D697" s="353"/>
      <c r="E697" s="73"/>
      <c r="F697" s="7"/>
      <c r="G697" s="7"/>
      <c r="H697" s="7"/>
      <c r="I697" s="180"/>
      <c r="J697" s="180"/>
      <c r="K697" s="284"/>
      <c r="L697" s="193"/>
      <c r="M697" s="180"/>
      <c r="N697" s="180"/>
      <c r="O697" s="180"/>
      <c r="P697" s="180"/>
      <c r="Q697" s="180"/>
      <c r="R697" s="180"/>
      <c r="S697" s="24"/>
      <c r="T697" s="182"/>
      <c r="U697" s="24"/>
      <c r="V697" s="32"/>
      <c r="W697" s="240"/>
      <c r="X697" s="64"/>
      <c r="Y697" s="75"/>
      <c r="Z697" s="64"/>
      <c r="AA697" s="64"/>
      <c r="AB697" s="25"/>
      <c r="AC697" s="23"/>
      <c r="AD697" s="23"/>
      <c r="AE697" s="23"/>
      <c r="AF697" s="335"/>
      <c r="AG697" s="336"/>
      <c r="AH697" s="334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</row>
    <row r="698" spans="1:346" s="26" customFormat="1" ht="12" hidden="1" customHeight="1" x14ac:dyDescent="0.25">
      <c r="A698" s="21"/>
      <c r="B698" s="21"/>
      <c r="C698" s="22"/>
      <c r="D698" s="353"/>
      <c r="E698" s="73"/>
      <c r="F698" s="7"/>
      <c r="G698" s="7"/>
      <c r="H698" s="7"/>
      <c r="I698" s="180"/>
      <c r="J698" s="180"/>
      <c r="K698" s="284"/>
      <c r="L698" s="193"/>
      <c r="M698" s="180"/>
      <c r="N698" s="180"/>
      <c r="O698" s="180"/>
      <c r="P698" s="180"/>
      <c r="Q698" s="180"/>
      <c r="R698" s="180"/>
      <c r="S698" s="24"/>
      <c r="T698" s="182"/>
      <c r="U698" s="24"/>
      <c r="V698" s="32"/>
      <c r="W698" s="240"/>
      <c r="X698" s="64"/>
      <c r="Y698" s="75"/>
      <c r="Z698" s="64"/>
      <c r="AA698" s="64"/>
      <c r="AB698" s="25"/>
      <c r="AC698" s="23"/>
      <c r="AD698" s="23"/>
      <c r="AE698" s="23"/>
      <c r="AF698" s="335"/>
      <c r="AG698" s="336"/>
      <c r="AH698" s="334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</row>
    <row r="699" spans="1:346" s="26" customFormat="1" ht="12" hidden="1" customHeight="1" x14ac:dyDescent="0.25">
      <c r="A699" s="21"/>
      <c r="B699" s="21"/>
      <c r="C699" s="22"/>
      <c r="D699" s="353"/>
      <c r="E699" s="73"/>
      <c r="F699" s="7"/>
      <c r="G699" s="7"/>
      <c r="H699" s="7"/>
      <c r="I699" s="180"/>
      <c r="J699" s="180"/>
      <c r="K699" s="284"/>
      <c r="L699" s="193"/>
      <c r="M699" s="180"/>
      <c r="N699" s="180"/>
      <c r="O699" s="180"/>
      <c r="P699" s="180"/>
      <c r="Q699" s="180"/>
      <c r="R699" s="180"/>
      <c r="S699" s="24"/>
      <c r="T699" s="182"/>
      <c r="U699" s="24"/>
      <c r="V699" s="32"/>
      <c r="W699" s="240"/>
      <c r="X699" s="64"/>
      <c r="Y699" s="75"/>
      <c r="Z699" s="64"/>
      <c r="AA699" s="64"/>
      <c r="AB699" s="25"/>
      <c r="AC699" s="23"/>
      <c r="AD699" s="23"/>
      <c r="AE699" s="23"/>
      <c r="AF699" s="335"/>
      <c r="AG699" s="336"/>
      <c r="AH699" s="334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</row>
    <row r="700" spans="1:346" s="26" customFormat="1" ht="12" hidden="1" customHeight="1" x14ac:dyDescent="0.25">
      <c r="A700" s="21"/>
      <c r="B700" s="21"/>
      <c r="C700" s="22"/>
      <c r="D700" s="353"/>
      <c r="E700" s="73"/>
      <c r="F700" s="7"/>
      <c r="G700" s="7"/>
      <c r="H700" s="7"/>
      <c r="I700" s="180"/>
      <c r="J700" s="180"/>
      <c r="K700" s="284"/>
      <c r="L700" s="193"/>
      <c r="M700" s="180"/>
      <c r="N700" s="180"/>
      <c r="O700" s="180"/>
      <c r="P700" s="180"/>
      <c r="Q700" s="180"/>
      <c r="R700" s="180"/>
      <c r="S700" s="24"/>
      <c r="T700" s="182"/>
      <c r="U700" s="24"/>
      <c r="V700" s="32"/>
      <c r="W700" s="240"/>
      <c r="X700" s="64"/>
      <c r="Y700" s="75"/>
      <c r="Z700" s="64"/>
      <c r="AA700" s="64"/>
      <c r="AB700" s="25"/>
      <c r="AC700" s="23"/>
      <c r="AD700" s="23"/>
      <c r="AE700" s="23"/>
      <c r="AF700" s="335"/>
      <c r="AG700" s="336"/>
      <c r="AH700" s="334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</row>
    <row r="701" spans="1:346" s="26" customFormat="1" ht="12" hidden="1" customHeight="1" x14ac:dyDescent="0.25">
      <c r="A701" s="21"/>
      <c r="B701" s="21"/>
      <c r="C701" s="22"/>
      <c r="D701" s="353"/>
      <c r="E701" s="73"/>
      <c r="F701" s="7"/>
      <c r="G701" s="7"/>
      <c r="H701" s="7"/>
      <c r="I701" s="180"/>
      <c r="J701" s="180"/>
      <c r="K701" s="284"/>
      <c r="L701" s="193"/>
      <c r="M701" s="180"/>
      <c r="N701" s="180"/>
      <c r="O701" s="180"/>
      <c r="P701" s="180"/>
      <c r="Q701" s="180"/>
      <c r="R701" s="180"/>
      <c r="S701" s="24"/>
      <c r="T701" s="182"/>
      <c r="U701" s="24"/>
      <c r="V701" s="32"/>
      <c r="W701" s="240"/>
      <c r="X701" s="64"/>
      <c r="Y701" s="75"/>
      <c r="Z701" s="64"/>
      <c r="AA701" s="64"/>
      <c r="AB701" s="25"/>
      <c r="AC701" s="23"/>
      <c r="AD701" s="23"/>
      <c r="AE701" s="23"/>
      <c r="AF701" s="335"/>
      <c r="AG701" s="336"/>
      <c r="AH701" s="334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</row>
    <row r="702" spans="1:346" s="26" customFormat="1" ht="12" hidden="1" customHeight="1" x14ac:dyDescent="0.25">
      <c r="A702" s="21"/>
      <c r="B702" s="21"/>
      <c r="C702" s="22"/>
      <c r="D702" s="353"/>
      <c r="E702" s="73"/>
      <c r="F702" s="7"/>
      <c r="G702" s="7"/>
      <c r="H702" s="7"/>
      <c r="I702" s="180"/>
      <c r="J702" s="180"/>
      <c r="K702" s="284"/>
      <c r="L702" s="193"/>
      <c r="M702" s="180"/>
      <c r="N702" s="180"/>
      <c r="O702" s="180"/>
      <c r="P702" s="180"/>
      <c r="Q702" s="180"/>
      <c r="R702" s="180"/>
      <c r="S702" s="24"/>
      <c r="T702" s="182"/>
      <c r="U702" s="24"/>
      <c r="V702" s="32"/>
      <c r="W702" s="240"/>
      <c r="X702" s="64"/>
      <c r="Y702" s="75"/>
      <c r="Z702" s="64"/>
      <c r="AA702" s="64"/>
      <c r="AB702" s="25"/>
      <c r="AC702" s="23"/>
      <c r="AD702" s="23"/>
      <c r="AE702" s="23"/>
      <c r="AF702" s="335"/>
      <c r="AG702" s="336"/>
      <c r="AH702" s="334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</row>
    <row r="703" spans="1:346" s="26" customFormat="1" ht="12" hidden="1" customHeight="1" x14ac:dyDescent="0.25">
      <c r="A703" s="21"/>
      <c r="B703" s="21"/>
      <c r="C703" s="22"/>
      <c r="D703" s="353"/>
      <c r="E703" s="73"/>
      <c r="F703" s="7"/>
      <c r="G703" s="7"/>
      <c r="H703" s="7"/>
      <c r="I703" s="180"/>
      <c r="J703" s="180"/>
      <c r="K703" s="284"/>
      <c r="L703" s="193"/>
      <c r="M703" s="180"/>
      <c r="N703" s="180"/>
      <c r="O703" s="180"/>
      <c r="P703" s="180"/>
      <c r="Q703" s="180"/>
      <c r="R703" s="180"/>
      <c r="S703" s="24"/>
      <c r="T703" s="182"/>
      <c r="U703" s="24"/>
      <c r="V703" s="32"/>
      <c r="W703" s="240"/>
      <c r="X703" s="64"/>
      <c r="Y703" s="75"/>
      <c r="Z703" s="64"/>
      <c r="AA703" s="64"/>
      <c r="AB703" s="25"/>
      <c r="AC703" s="23"/>
      <c r="AD703" s="23"/>
      <c r="AE703" s="23"/>
      <c r="AF703" s="335"/>
      <c r="AG703" s="336"/>
      <c r="AH703" s="334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</row>
    <row r="704" spans="1:346" s="26" customFormat="1" ht="12" hidden="1" customHeight="1" x14ac:dyDescent="0.25">
      <c r="A704" s="21"/>
      <c r="B704" s="21"/>
      <c r="C704" s="22"/>
      <c r="D704" s="353"/>
      <c r="E704" s="73"/>
      <c r="F704" s="7"/>
      <c r="G704" s="7"/>
      <c r="H704" s="7"/>
      <c r="I704" s="180"/>
      <c r="J704" s="180"/>
      <c r="K704" s="284"/>
      <c r="L704" s="193"/>
      <c r="M704" s="180"/>
      <c r="N704" s="180"/>
      <c r="O704" s="180"/>
      <c r="P704" s="180"/>
      <c r="Q704" s="180"/>
      <c r="R704" s="180"/>
      <c r="S704" s="24"/>
      <c r="T704" s="182"/>
      <c r="U704" s="24"/>
      <c r="V704" s="32"/>
      <c r="W704" s="240"/>
      <c r="X704" s="64"/>
      <c r="Y704" s="75"/>
      <c r="Z704" s="64"/>
      <c r="AA704" s="64"/>
      <c r="AB704" s="25"/>
      <c r="AC704" s="23"/>
      <c r="AD704" s="23"/>
      <c r="AE704" s="23"/>
      <c r="AF704" s="335"/>
      <c r="AG704" s="336"/>
      <c r="AH704" s="334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</row>
    <row r="705" spans="1:346" s="26" customFormat="1" ht="12" hidden="1" customHeight="1" x14ac:dyDescent="0.25">
      <c r="A705" s="21"/>
      <c r="B705" s="21"/>
      <c r="C705" s="22"/>
      <c r="D705" s="353"/>
      <c r="E705" s="73"/>
      <c r="F705" s="7"/>
      <c r="G705" s="7"/>
      <c r="H705" s="7"/>
      <c r="I705" s="180"/>
      <c r="J705" s="180"/>
      <c r="K705" s="284"/>
      <c r="L705" s="193"/>
      <c r="M705" s="180"/>
      <c r="N705" s="180"/>
      <c r="O705" s="180"/>
      <c r="P705" s="180"/>
      <c r="Q705" s="180"/>
      <c r="R705" s="180"/>
      <c r="S705" s="24"/>
      <c r="T705" s="182"/>
      <c r="U705" s="24"/>
      <c r="V705" s="32"/>
      <c r="W705" s="240"/>
      <c r="X705" s="64"/>
      <c r="Y705" s="75"/>
      <c r="Z705" s="64"/>
      <c r="AA705" s="64"/>
      <c r="AB705" s="25"/>
      <c r="AC705" s="23"/>
      <c r="AD705" s="23"/>
      <c r="AE705" s="23"/>
      <c r="AF705" s="335"/>
      <c r="AG705" s="336"/>
      <c r="AH705" s="334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</row>
    <row r="706" spans="1:346" s="26" customFormat="1" ht="12" hidden="1" customHeight="1" x14ac:dyDescent="0.25">
      <c r="A706" s="21"/>
      <c r="B706" s="21"/>
      <c r="C706" s="22"/>
      <c r="D706" s="353"/>
      <c r="E706" s="73"/>
      <c r="F706" s="7"/>
      <c r="G706" s="7"/>
      <c r="H706" s="7"/>
      <c r="I706" s="180"/>
      <c r="J706" s="180"/>
      <c r="K706" s="284"/>
      <c r="L706" s="193"/>
      <c r="M706" s="180"/>
      <c r="N706" s="180"/>
      <c r="O706" s="180"/>
      <c r="P706" s="180"/>
      <c r="Q706" s="180"/>
      <c r="R706" s="180"/>
      <c r="S706" s="24"/>
      <c r="T706" s="182"/>
      <c r="U706" s="24"/>
      <c r="V706" s="32"/>
      <c r="W706" s="240"/>
      <c r="X706" s="64"/>
      <c r="Y706" s="75"/>
      <c r="Z706" s="64"/>
      <c r="AA706" s="64"/>
      <c r="AB706" s="25"/>
      <c r="AC706" s="23"/>
      <c r="AD706" s="23"/>
      <c r="AE706" s="23"/>
      <c r="AF706" s="335"/>
      <c r="AG706" s="336"/>
      <c r="AH706" s="334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</row>
    <row r="707" spans="1:346" s="26" customFormat="1" ht="12" hidden="1" customHeight="1" x14ac:dyDescent="0.25">
      <c r="A707" s="21"/>
      <c r="B707" s="21"/>
      <c r="C707" s="22"/>
      <c r="D707" s="353"/>
      <c r="E707" s="73"/>
      <c r="F707" s="7"/>
      <c r="G707" s="7"/>
      <c r="H707" s="7"/>
      <c r="I707" s="180"/>
      <c r="J707" s="180"/>
      <c r="K707" s="284"/>
      <c r="L707" s="193"/>
      <c r="M707" s="180"/>
      <c r="N707" s="180"/>
      <c r="O707" s="180"/>
      <c r="P707" s="180"/>
      <c r="Q707" s="180"/>
      <c r="R707" s="180"/>
      <c r="S707" s="24"/>
      <c r="T707" s="182"/>
      <c r="U707" s="24"/>
      <c r="V707" s="32"/>
      <c r="W707" s="240"/>
      <c r="X707" s="64"/>
      <c r="Y707" s="75"/>
      <c r="Z707" s="64"/>
      <c r="AA707" s="64"/>
      <c r="AB707" s="25"/>
      <c r="AC707" s="23"/>
      <c r="AD707" s="23"/>
      <c r="AE707" s="23"/>
      <c r="AF707" s="335"/>
      <c r="AG707" s="336"/>
      <c r="AH707" s="334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</row>
    <row r="708" spans="1:346" s="26" customFormat="1" ht="12" hidden="1" customHeight="1" x14ac:dyDescent="0.25">
      <c r="A708" s="21"/>
      <c r="B708" s="21"/>
      <c r="C708" s="22"/>
      <c r="D708" s="353"/>
      <c r="E708" s="73"/>
      <c r="F708" s="7"/>
      <c r="G708" s="7"/>
      <c r="H708" s="7"/>
      <c r="I708" s="180"/>
      <c r="J708" s="180"/>
      <c r="K708" s="284"/>
      <c r="L708" s="193"/>
      <c r="M708" s="180"/>
      <c r="N708" s="180"/>
      <c r="O708" s="180"/>
      <c r="P708" s="180"/>
      <c r="Q708" s="180"/>
      <c r="R708" s="180"/>
      <c r="S708" s="24"/>
      <c r="T708" s="182"/>
      <c r="U708" s="24"/>
      <c r="V708" s="32"/>
      <c r="W708" s="240"/>
      <c r="X708" s="64"/>
      <c r="Y708" s="75"/>
      <c r="Z708" s="64"/>
      <c r="AA708" s="64"/>
      <c r="AB708" s="25"/>
      <c r="AC708" s="23"/>
      <c r="AD708" s="23"/>
      <c r="AE708" s="23"/>
      <c r="AF708" s="335"/>
      <c r="AG708" s="336"/>
      <c r="AH708" s="334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</row>
    <row r="709" spans="1:346" s="26" customFormat="1" ht="12" hidden="1" customHeight="1" x14ac:dyDescent="0.25">
      <c r="A709" s="21"/>
      <c r="B709" s="21"/>
      <c r="C709" s="22"/>
      <c r="D709" s="353"/>
      <c r="E709" s="73"/>
      <c r="F709" s="7"/>
      <c r="G709" s="7"/>
      <c r="H709" s="7"/>
      <c r="I709" s="180"/>
      <c r="J709" s="180"/>
      <c r="K709" s="284"/>
      <c r="L709" s="193"/>
      <c r="M709" s="180"/>
      <c r="N709" s="180"/>
      <c r="O709" s="180"/>
      <c r="P709" s="180"/>
      <c r="Q709" s="180"/>
      <c r="R709" s="180"/>
      <c r="S709" s="24"/>
      <c r="T709" s="182"/>
      <c r="U709" s="24"/>
      <c r="V709" s="32"/>
      <c r="W709" s="240"/>
      <c r="X709" s="64"/>
      <c r="Y709" s="75"/>
      <c r="Z709" s="64"/>
      <c r="AA709" s="64"/>
      <c r="AB709" s="25"/>
      <c r="AC709" s="23"/>
      <c r="AD709" s="23"/>
      <c r="AE709" s="23"/>
      <c r="AF709" s="335"/>
      <c r="AG709" s="336"/>
      <c r="AH709" s="334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</row>
    <row r="710" spans="1:346" s="26" customFormat="1" ht="12" hidden="1" customHeight="1" x14ac:dyDescent="0.25">
      <c r="A710" s="21"/>
      <c r="B710" s="21"/>
      <c r="C710" s="22"/>
      <c r="D710" s="353"/>
      <c r="E710" s="73"/>
      <c r="F710" s="7"/>
      <c r="G710" s="7"/>
      <c r="H710" s="7"/>
      <c r="I710" s="180"/>
      <c r="J710" s="180"/>
      <c r="K710" s="284"/>
      <c r="L710" s="193"/>
      <c r="M710" s="180"/>
      <c r="N710" s="180"/>
      <c r="O710" s="180"/>
      <c r="P710" s="180"/>
      <c r="Q710" s="180"/>
      <c r="R710" s="180"/>
      <c r="S710" s="24"/>
      <c r="T710" s="182"/>
      <c r="U710" s="24"/>
      <c r="V710" s="32"/>
      <c r="W710" s="240"/>
      <c r="X710" s="64"/>
      <c r="Y710" s="75"/>
      <c r="Z710" s="64"/>
      <c r="AA710" s="64"/>
      <c r="AB710" s="25"/>
      <c r="AC710" s="23"/>
      <c r="AD710" s="23"/>
      <c r="AE710" s="23"/>
      <c r="AF710" s="335"/>
      <c r="AG710" s="336"/>
      <c r="AH710" s="334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</row>
    <row r="711" spans="1:346" s="26" customFormat="1" ht="12" hidden="1" customHeight="1" x14ac:dyDescent="0.25">
      <c r="A711" s="21"/>
      <c r="B711" s="21"/>
      <c r="C711" s="22"/>
      <c r="D711" s="353"/>
      <c r="E711" s="73"/>
      <c r="F711" s="7"/>
      <c r="G711" s="7"/>
      <c r="H711" s="7"/>
      <c r="I711" s="180"/>
      <c r="J711" s="180"/>
      <c r="K711" s="284"/>
      <c r="L711" s="193"/>
      <c r="M711" s="180"/>
      <c r="N711" s="180"/>
      <c r="O711" s="180"/>
      <c r="P711" s="180"/>
      <c r="Q711" s="180"/>
      <c r="R711" s="180"/>
      <c r="S711" s="24"/>
      <c r="T711" s="182"/>
      <c r="U711" s="24"/>
      <c r="V711" s="32"/>
      <c r="W711" s="240"/>
      <c r="X711" s="64"/>
      <c r="Y711" s="75"/>
      <c r="Z711" s="64"/>
      <c r="AA711" s="64"/>
      <c r="AB711" s="25"/>
      <c r="AC711" s="23"/>
      <c r="AD711" s="23"/>
      <c r="AE711" s="23"/>
      <c r="AF711" s="335"/>
      <c r="AG711" s="336"/>
      <c r="AH711" s="334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</row>
    <row r="712" spans="1:346" s="26" customFormat="1" ht="12" hidden="1" customHeight="1" x14ac:dyDescent="0.25">
      <c r="A712" s="21"/>
      <c r="B712" s="21"/>
      <c r="C712" s="22"/>
      <c r="D712" s="353"/>
      <c r="E712" s="73"/>
      <c r="F712" s="7"/>
      <c r="G712" s="7"/>
      <c r="H712" s="7"/>
      <c r="I712" s="180"/>
      <c r="J712" s="180"/>
      <c r="K712" s="284"/>
      <c r="L712" s="193"/>
      <c r="M712" s="180"/>
      <c r="N712" s="180"/>
      <c r="O712" s="180"/>
      <c r="P712" s="180"/>
      <c r="Q712" s="180"/>
      <c r="R712" s="180"/>
      <c r="S712" s="24"/>
      <c r="T712" s="182"/>
      <c r="U712" s="24"/>
      <c r="V712" s="32"/>
      <c r="W712" s="240"/>
      <c r="X712" s="64"/>
      <c r="Y712" s="75"/>
      <c r="Z712" s="64"/>
      <c r="AA712" s="64"/>
      <c r="AB712" s="25"/>
      <c r="AC712" s="23"/>
      <c r="AD712" s="23"/>
      <c r="AE712" s="23"/>
      <c r="AF712" s="335"/>
      <c r="AG712" s="336"/>
      <c r="AH712" s="334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</row>
    <row r="713" spans="1:346" s="26" customFormat="1" ht="12" hidden="1" customHeight="1" x14ac:dyDescent="0.25">
      <c r="A713" s="21"/>
      <c r="B713" s="21"/>
      <c r="C713" s="22"/>
      <c r="D713" s="353"/>
      <c r="E713" s="73"/>
      <c r="F713" s="7"/>
      <c r="G713" s="7"/>
      <c r="H713" s="7"/>
      <c r="I713" s="180"/>
      <c r="J713" s="180"/>
      <c r="K713" s="284"/>
      <c r="L713" s="193"/>
      <c r="M713" s="180"/>
      <c r="N713" s="180"/>
      <c r="O713" s="180"/>
      <c r="P713" s="180"/>
      <c r="Q713" s="180"/>
      <c r="R713" s="180"/>
      <c r="S713" s="24"/>
      <c r="T713" s="182"/>
      <c r="U713" s="24"/>
      <c r="V713" s="32"/>
      <c r="W713" s="240"/>
      <c r="X713" s="64"/>
      <c r="Y713" s="75"/>
      <c r="Z713" s="64"/>
      <c r="AA713" s="64"/>
      <c r="AB713" s="25"/>
      <c r="AC713" s="23"/>
      <c r="AD713" s="23"/>
      <c r="AE713" s="23"/>
      <c r="AF713" s="335"/>
      <c r="AG713" s="336"/>
      <c r="AH713" s="334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</row>
    <row r="714" spans="1:346" s="26" customFormat="1" ht="12" hidden="1" customHeight="1" x14ac:dyDescent="0.25">
      <c r="A714" s="21"/>
      <c r="B714" s="21"/>
      <c r="C714" s="22"/>
      <c r="D714" s="353"/>
      <c r="E714" s="73"/>
      <c r="F714" s="7"/>
      <c r="G714" s="7"/>
      <c r="H714" s="7"/>
      <c r="I714" s="180"/>
      <c r="J714" s="180"/>
      <c r="K714" s="284"/>
      <c r="L714" s="193"/>
      <c r="M714" s="180"/>
      <c r="N714" s="180"/>
      <c r="O714" s="180"/>
      <c r="P714" s="180"/>
      <c r="Q714" s="180"/>
      <c r="R714" s="180"/>
      <c r="S714" s="24"/>
      <c r="T714" s="182"/>
      <c r="U714" s="24"/>
      <c r="V714" s="32"/>
      <c r="W714" s="240"/>
      <c r="X714" s="64"/>
      <c r="Y714" s="75"/>
      <c r="Z714" s="64"/>
      <c r="AA714" s="64"/>
      <c r="AB714" s="25"/>
      <c r="AC714" s="23"/>
      <c r="AD714" s="23"/>
      <c r="AE714" s="23"/>
      <c r="AF714" s="335"/>
      <c r="AG714" s="336"/>
      <c r="AH714" s="334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</row>
    <row r="715" spans="1:346" s="26" customFormat="1" ht="12" hidden="1" customHeight="1" x14ac:dyDescent="0.25">
      <c r="A715" s="21"/>
      <c r="B715" s="21"/>
      <c r="C715" s="22"/>
      <c r="D715" s="353"/>
      <c r="E715" s="73"/>
      <c r="F715" s="7"/>
      <c r="G715" s="7"/>
      <c r="H715" s="7"/>
      <c r="I715" s="180"/>
      <c r="J715" s="180"/>
      <c r="K715" s="284"/>
      <c r="L715" s="193"/>
      <c r="M715" s="180"/>
      <c r="N715" s="180"/>
      <c r="O715" s="180"/>
      <c r="P715" s="180"/>
      <c r="Q715" s="180"/>
      <c r="R715" s="180"/>
      <c r="S715" s="24"/>
      <c r="T715" s="182"/>
      <c r="U715" s="24"/>
      <c r="V715" s="32"/>
      <c r="W715" s="240"/>
      <c r="X715" s="64"/>
      <c r="Y715" s="75"/>
      <c r="Z715" s="64"/>
      <c r="AA715" s="64"/>
      <c r="AB715" s="25"/>
      <c r="AC715" s="23"/>
      <c r="AD715" s="23"/>
      <c r="AE715" s="23"/>
      <c r="AF715" s="335"/>
      <c r="AG715" s="336"/>
      <c r="AH715" s="334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</row>
    <row r="716" spans="1:346" s="26" customFormat="1" ht="12" hidden="1" customHeight="1" x14ac:dyDescent="0.25">
      <c r="A716" s="21"/>
      <c r="B716" s="21"/>
      <c r="C716" s="22"/>
      <c r="D716" s="353"/>
      <c r="E716" s="73"/>
      <c r="F716" s="7"/>
      <c r="G716" s="7"/>
      <c r="H716" s="7"/>
      <c r="I716" s="180"/>
      <c r="J716" s="180"/>
      <c r="K716" s="284"/>
      <c r="L716" s="193"/>
      <c r="M716" s="180"/>
      <c r="N716" s="180"/>
      <c r="O716" s="180"/>
      <c r="P716" s="180"/>
      <c r="Q716" s="180"/>
      <c r="R716" s="180"/>
      <c r="S716" s="24"/>
      <c r="T716" s="182"/>
      <c r="U716" s="24"/>
      <c r="V716" s="32"/>
      <c r="W716" s="240"/>
      <c r="X716" s="64"/>
      <c r="Y716" s="75"/>
      <c r="Z716" s="64"/>
      <c r="AA716" s="64"/>
      <c r="AB716" s="25"/>
      <c r="AC716" s="23"/>
      <c r="AD716" s="23"/>
      <c r="AE716" s="23"/>
      <c r="AF716" s="335"/>
      <c r="AG716" s="336"/>
      <c r="AH716" s="334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</row>
    <row r="717" spans="1:346" s="26" customFormat="1" ht="12" hidden="1" customHeight="1" x14ac:dyDescent="0.25">
      <c r="A717" s="21"/>
      <c r="B717" s="21"/>
      <c r="C717" s="22"/>
      <c r="D717" s="353"/>
      <c r="E717" s="73"/>
      <c r="F717" s="7"/>
      <c r="G717" s="7"/>
      <c r="H717" s="7"/>
      <c r="I717" s="180"/>
      <c r="J717" s="180"/>
      <c r="K717" s="284"/>
      <c r="L717" s="193"/>
      <c r="M717" s="180"/>
      <c r="N717" s="180"/>
      <c r="O717" s="180"/>
      <c r="P717" s="180"/>
      <c r="Q717" s="180"/>
      <c r="R717" s="180"/>
      <c r="S717" s="24"/>
      <c r="T717" s="182"/>
      <c r="U717" s="24"/>
      <c r="V717" s="32"/>
      <c r="W717" s="240"/>
      <c r="X717" s="64"/>
      <c r="Y717" s="75"/>
      <c r="Z717" s="64"/>
      <c r="AA717" s="64"/>
      <c r="AB717" s="25"/>
      <c r="AC717" s="23"/>
      <c r="AD717" s="23"/>
      <c r="AE717" s="23"/>
      <c r="AF717" s="335"/>
      <c r="AG717" s="336"/>
      <c r="AH717" s="334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</row>
    <row r="718" spans="1:346" s="26" customFormat="1" ht="12" hidden="1" customHeight="1" x14ac:dyDescent="0.25">
      <c r="A718" s="21"/>
      <c r="B718" s="21"/>
      <c r="C718" s="22"/>
      <c r="D718" s="353"/>
      <c r="E718" s="73"/>
      <c r="F718" s="7"/>
      <c r="G718" s="7"/>
      <c r="H718" s="7"/>
      <c r="I718" s="180"/>
      <c r="J718" s="180"/>
      <c r="K718" s="284"/>
      <c r="L718" s="193"/>
      <c r="M718" s="180"/>
      <c r="N718" s="180"/>
      <c r="O718" s="180"/>
      <c r="P718" s="180"/>
      <c r="Q718" s="180"/>
      <c r="R718" s="180"/>
      <c r="S718" s="24"/>
      <c r="T718" s="182"/>
      <c r="U718" s="24"/>
      <c r="V718" s="32"/>
      <c r="W718" s="240"/>
      <c r="X718" s="64"/>
      <c r="Y718" s="75"/>
      <c r="Z718" s="64"/>
      <c r="AA718" s="64"/>
      <c r="AB718" s="25"/>
      <c r="AC718" s="23"/>
      <c r="AD718" s="23"/>
      <c r="AE718" s="23"/>
      <c r="AF718" s="335"/>
      <c r="AG718" s="336"/>
      <c r="AH718" s="334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</row>
    <row r="719" spans="1:346" s="26" customFormat="1" ht="12" hidden="1" customHeight="1" x14ac:dyDescent="0.25">
      <c r="A719" s="21"/>
      <c r="B719" s="21"/>
      <c r="C719" s="22"/>
      <c r="D719" s="353"/>
      <c r="E719" s="73"/>
      <c r="F719" s="7"/>
      <c r="G719" s="7"/>
      <c r="H719" s="7"/>
      <c r="I719" s="180"/>
      <c r="J719" s="180"/>
      <c r="K719" s="284"/>
      <c r="L719" s="193"/>
      <c r="M719" s="180"/>
      <c r="N719" s="180"/>
      <c r="O719" s="180"/>
      <c r="P719" s="180"/>
      <c r="Q719" s="180"/>
      <c r="R719" s="180"/>
      <c r="S719" s="24"/>
      <c r="T719" s="182"/>
      <c r="U719" s="24"/>
      <c r="V719" s="32"/>
      <c r="W719" s="240"/>
      <c r="X719" s="64"/>
      <c r="Y719" s="75"/>
      <c r="Z719" s="64"/>
      <c r="AA719" s="64"/>
      <c r="AB719" s="25"/>
      <c r="AC719" s="23"/>
      <c r="AD719" s="23"/>
      <c r="AE719" s="23"/>
      <c r="AF719" s="335"/>
      <c r="AG719" s="336"/>
      <c r="AH719" s="334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</row>
    <row r="720" spans="1:346" s="26" customFormat="1" ht="12" hidden="1" customHeight="1" x14ac:dyDescent="0.25">
      <c r="A720" s="21"/>
      <c r="B720" s="21"/>
      <c r="C720" s="22"/>
      <c r="D720" s="353"/>
      <c r="E720" s="73"/>
      <c r="F720" s="7"/>
      <c r="G720" s="7"/>
      <c r="H720" s="7"/>
      <c r="I720" s="180"/>
      <c r="J720" s="180"/>
      <c r="K720" s="284"/>
      <c r="L720" s="193"/>
      <c r="M720" s="180"/>
      <c r="N720" s="180"/>
      <c r="O720" s="180"/>
      <c r="P720" s="180"/>
      <c r="Q720" s="180"/>
      <c r="R720" s="180"/>
      <c r="S720" s="24"/>
      <c r="T720" s="182"/>
      <c r="U720" s="24"/>
      <c r="V720" s="32"/>
      <c r="W720" s="240"/>
      <c r="X720" s="64"/>
      <c r="Y720" s="75"/>
      <c r="Z720" s="64"/>
      <c r="AA720" s="64"/>
      <c r="AB720" s="25"/>
      <c r="AC720" s="23"/>
      <c r="AD720" s="23"/>
      <c r="AE720" s="23"/>
      <c r="AF720" s="335"/>
      <c r="AG720" s="336"/>
      <c r="AH720" s="334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</row>
    <row r="721" spans="1:346" s="26" customFormat="1" ht="12" hidden="1" customHeight="1" x14ac:dyDescent="0.25">
      <c r="A721" s="21"/>
      <c r="B721" s="21"/>
      <c r="C721" s="22"/>
      <c r="D721" s="353"/>
      <c r="E721" s="73"/>
      <c r="F721" s="7"/>
      <c r="G721" s="7"/>
      <c r="H721" s="7"/>
      <c r="I721" s="180"/>
      <c r="J721" s="180"/>
      <c r="K721" s="284"/>
      <c r="L721" s="193"/>
      <c r="M721" s="180"/>
      <c r="N721" s="180"/>
      <c r="O721" s="180"/>
      <c r="P721" s="180"/>
      <c r="Q721" s="180"/>
      <c r="R721" s="180"/>
      <c r="S721" s="24"/>
      <c r="T721" s="182"/>
      <c r="U721" s="24"/>
      <c r="V721" s="32"/>
      <c r="W721" s="240"/>
      <c r="X721" s="64"/>
      <c r="Y721" s="75"/>
      <c r="Z721" s="64"/>
      <c r="AA721" s="64"/>
      <c r="AB721" s="25"/>
      <c r="AC721" s="23"/>
      <c r="AD721" s="23"/>
      <c r="AE721" s="23"/>
      <c r="AF721" s="335"/>
      <c r="AG721" s="336"/>
      <c r="AH721" s="334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</row>
    <row r="722" spans="1:346" s="26" customFormat="1" ht="12" hidden="1" customHeight="1" x14ac:dyDescent="0.25">
      <c r="A722" s="21"/>
      <c r="B722" s="21"/>
      <c r="C722" s="22"/>
      <c r="D722" s="353"/>
      <c r="E722" s="73"/>
      <c r="F722" s="7"/>
      <c r="G722" s="7"/>
      <c r="H722" s="7"/>
      <c r="I722" s="180"/>
      <c r="J722" s="180"/>
      <c r="K722" s="284"/>
      <c r="L722" s="193"/>
      <c r="M722" s="180"/>
      <c r="N722" s="180"/>
      <c r="O722" s="180"/>
      <c r="P722" s="180"/>
      <c r="Q722" s="180"/>
      <c r="R722" s="180"/>
      <c r="S722" s="24"/>
      <c r="T722" s="182"/>
      <c r="U722" s="24"/>
      <c r="V722" s="32"/>
      <c r="W722" s="240"/>
      <c r="X722" s="64"/>
      <c r="Y722" s="75"/>
      <c r="Z722" s="64"/>
      <c r="AA722" s="64"/>
      <c r="AB722" s="25"/>
      <c r="AC722" s="23"/>
      <c r="AD722" s="23"/>
      <c r="AE722" s="23"/>
      <c r="AF722" s="335"/>
      <c r="AG722" s="336"/>
      <c r="AH722" s="334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</row>
    <row r="723" spans="1:346" s="26" customFormat="1" ht="12" hidden="1" customHeight="1" x14ac:dyDescent="0.25">
      <c r="A723" s="21"/>
      <c r="B723" s="21"/>
      <c r="C723" s="22"/>
      <c r="D723" s="353"/>
      <c r="E723" s="73"/>
      <c r="F723" s="7"/>
      <c r="G723" s="7"/>
      <c r="H723" s="7"/>
      <c r="I723" s="180"/>
      <c r="J723" s="180"/>
      <c r="K723" s="284"/>
      <c r="L723" s="193"/>
      <c r="M723" s="180"/>
      <c r="N723" s="180"/>
      <c r="O723" s="180"/>
      <c r="P723" s="180"/>
      <c r="Q723" s="180"/>
      <c r="R723" s="180"/>
      <c r="S723" s="24"/>
      <c r="T723" s="182"/>
      <c r="U723" s="24"/>
      <c r="V723" s="32"/>
      <c r="W723" s="240"/>
      <c r="X723" s="64"/>
      <c r="Y723" s="75"/>
      <c r="Z723" s="64"/>
      <c r="AA723" s="64"/>
      <c r="AB723" s="25"/>
      <c r="AC723" s="23"/>
      <c r="AD723" s="23"/>
      <c r="AE723" s="23"/>
      <c r="AF723" s="335"/>
      <c r="AG723" s="336"/>
      <c r="AH723" s="334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</row>
    <row r="724" spans="1:346" s="26" customFormat="1" ht="12" hidden="1" customHeight="1" x14ac:dyDescent="0.25">
      <c r="A724" s="21"/>
      <c r="B724" s="21"/>
      <c r="C724" s="22"/>
      <c r="D724" s="353"/>
      <c r="E724" s="73"/>
      <c r="F724" s="7"/>
      <c r="G724" s="7"/>
      <c r="H724" s="7"/>
      <c r="I724" s="180"/>
      <c r="J724" s="180"/>
      <c r="K724" s="284"/>
      <c r="L724" s="193"/>
      <c r="M724" s="180"/>
      <c r="N724" s="180"/>
      <c r="O724" s="180"/>
      <c r="P724" s="180"/>
      <c r="Q724" s="180"/>
      <c r="R724" s="180"/>
      <c r="S724" s="24"/>
      <c r="T724" s="182"/>
      <c r="U724" s="24"/>
      <c r="V724" s="32"/>
      <c r="W724" s="240"/>
      <c r="X724" s="64"/>
      <c r="Y724" s="75"/>
      <c r="Z724" s="64"/>
      <c r="AA724" s="64"/>
      <c r="AB724" s="25"/>
      <c r="AC724" s="23"/>
      <c r="AD724" s="23"/>
      <c r="AE724" s="23"/>
      <c r="AF724" s="335"/>
      <c r="AG724" s="336"/>
      <c r="AH724" s="334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</row>
    <row r="725" spans="1:346" s="26" customFormat="1" ht="12" hidden="1" customHeight="1" x14ac:dyDescent="0.25">
      <c r="A725" s="21"/>
      <c r="B725" s="21"/>
      <c r="C725" s="22"/>
      <c r="D725" s="353"/>
      <c r="E725" s="73"/>
      <c r="F725" s="7"/>
      <c r="G725" s="7"/>
      <c r="H725" s="7"/>
      <c r="I725" s="180"/>
      <c r="J725" s="180"/>
      <c r="K725" s="284"/>
      <c r="L725" s="193"/>
      <c r="M725" s="180"/>
      <c r="N725" s="180"/>
      <c r="O725" s="180"/>
      <c r="P725" s="180"/>
      <c r="Q725" s="180"/>
      <c r="R725" s="180"/>
      <c r="S725" s="24"/>
      <c r="T725" s="182"/>
      <c r="U725" s="24"/>
      <c r="V725" s="32"/>
      <c r="W725" s="240"/>
      <c r="X725" s="64"/>
      <c r="Y725" s="75"/>
      <c r="Z725" s="64"/>
      <c r="AA725" s="64"/>
      <c r="AB725" s="25"/>
      <c r="AC725" s="23"/>
      <c r="AD725" s="23"/>
      <c r="AE725" s="23"/>
      <c r="AF725" s="335"/>
      <c r="AG725" s="336"/>
      <c r="AH725" s="334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</row>
    <row r="726" spans="1:346" s="26" customFormat="1" ht="12" hidden="1" customHeight="1" x14ac:dyDescent="0.25">
      <c r="A726" s="21"/>
      <c r="B726" s="21"/>
      <c r="C726" s="22"/>
      <c r="D726" s="353"/>
      <c r="E726" s="73"/>
      <c r="F726" s="7"/>
      <c r="G726" s="7"/>
      <c r="H726" s="7"/>
      <c r="I726" s="180"/>
      <c r="J726" s="180"/>
      <c r="K726" s="284"/>
      <c r="L726" s="193"/>
      <c r="M726" s="180"/>
      <c r="N726" s="180"/>
      <c r="O726" s="180"/>
      <c r="P726" s="180"/>
      <c r="Q726" s="180"/>
      <c r="R726" s="180"/>
      <c r="S726" s="24"/>
      <c r="T726" s="182"/>
      <c r="U726" s="24"/>
      <c r="V726" s="32"/>
      <c r="W726" s="240"/>
      <c r="X726" s="64"/>
      <c r="Y726" s="75"/>
      <c r="Z726" s="64"/>
      <c r="AA726" s="64"/>
      <c r="AB726" s="25"/>
      <c r="AC726" s="23"/>
      <c r="AD726" s="23"/>
      <c r="AE726" s="23"/>
      <c r="AF726" s="335"/>
      <c r="AG726" s="336"/>
      <c r="AH726" s="334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</row>
    <row r="727" spans="1:346" s="26" customFormat="1" ht="12" hidden="1" customHeight="1" x14ac:dyDescent="0.25">
      <c r="A727" s="21"/>
      <c r="B727" s="21"/>
      <c r="C727" s="22"/>
      <c r="D727" s="353"/>
      <c r="E727" s="73"/>
      <c r="F727" s="7"/>
      <c r="G727" s="7"/>
      <c r="H727" s="7"/>
      <c r="I727" s="180"/>
      <c r="J727" s="180"/>
      <c r="K727" s="284"/>
      <c r="L727" s="193"/>
      <c r="M727" s="180"/>
      <c r="N727" s="180"/>
      <c r="O727" s="180"/>
      <c r="P727" s="180"/>
      <c r="Q727" s="180"/>
      <c r="R727" s="180"/>
      <c r="S727" s="24"/>
      <c r="T727" s="182"/>
      <c r="U727" s="24"/>
      <c r="V727" s="32"/>
      <c r="W727" s="240"/>
      <c r="X727" s="64"/>
      <c r="Y727" s="75"/>
      <c r="Z727" s="64"/>
      <c r="AA727" s="64"/>
      <c r="AB727" s="25"/>
      <c r="AC727" s="23"/>
      <c r="AD727" s="23"/>
      <c r="AE727" s="23"/>
      <c r="AF727" s="335"/>
      <c r="AG727" s="336"/>
      <c r="AH727" s="334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</row>
    <row r="728" spans="1:346" s="26" customFormat="1" ht="12" hidden="1" customHeight="1" x14ac:dyDescent="0.25">
      <c r="A728" s="21"/>
      <c r="B728" s="21"/>
      <c r="C728" s="22"/>
      <c r="D728" s="353"/>
      <c r="E728" s="73"/>
      <c r="F728" s="7"/>
      <c r="G728" s="7"/>
      <c r="H728" s="7"/>
      <c r="I728" s="180"/>
      <c r="J728" s="180"/>
      <c r="K728" s="284"/>
      <c r="L728" s="193"/>
      <c r="M728" s="180"/>
      <c r="N728" s="180"/>
      <c r="O728" s="180"/>
      <c r="P728" s="180"/>
      <c r="Q728" s="180"/>
      <c r="R728" s="180"/>
      <c r="S728" s="24"/>
      <c r="T728" s="182"/>
      <c r="U728" s="24"/>
      <c r="V728" s="32"/>
      <c r="W728" s="240"/>
      <c r="X728" s="64"/>
      <c r="Y728" s="75"/>
      <c r="Z728" s="64"/>
      <c r="AA728" s="64"/>
      <c r="AB728" s="25"/>
      <c r="AC728" s="23"/>
      <c r="AD728" s="23"/>
      <c r="AE728" s="23"/>
      <c r="AF728" s="335"/>
      <c r="AG728" s="336"/>
      <c r="AH728" s="334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</row>
    <row r="729" spans="1:346" s="26" customFormat="1" ht="12" hidden="1" customHeight="1" x14ac:dyDescent="0.25">
      <c r="A729" s="21"/>
      <c r="B729" s="21"/>
      <c r="C729" s="22"/>
      <c r="D729" s="353"/>
      <c r="E729" s="73"/>
      <c r="F729" s="7"/>
      <c r="G729" s="7"/>
      <c r="H729" s="7"/>
      <c r="I729" s="180"/>
      <c r="J729" s="180"/>
      <c r="K729" s="284"/>
      <c r="L729" s="193"/>
      <c r="M729" s="180"/>
      <c r="N729" s="180"/>
      <c r="O729" s="180"/>
      <c r="P729" s="180"/>
      <c r="Q729" s="180"/>
      <c r="R729" s="180"/>
      <c r="S729" s="24"/>
      <c r="T729" s="182"/>
      <c r="U729" s="24"/>
      <c r="V729" s="32"/>
      <c r="W729" s="240"/>
      <c r="X729" s="64"/>
      <c r="Y729" s="75"/>
      <c r="Z729" s="64"/>
      <c r="AA729" s="64"/>
      <c r="AB729" s="25"/>
      <c r="AC729" s="23"/>
      <c r="AD729" s="23"/>
      <c r="AE729" s="23"/>
      <c r="AF729" s="335"/>
      <c r="AG729" s="336"/>
      <c r="AH729" s="334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</row>
    <row r="730" spans="1:346" s="26" customFormat="1" ht="12" hidden="1" customHeight="1" x14ac:dyDescent="0.25">
      <c r="A730" s="21"/>
      <c r="B730" s="21"/>
      <c r="C730" s="22"/>
      <c r="D730" s="353"/>
      <c r="E730" s="73"/>
      <c r="F730" s="7"/>
      <c r="G730" s="7"/>
      <c r="H730" s="7"/>
      <c r="I730" s="180"/>
      <c r="J730" s="180"/>
      <c r="K730" s="284"/>
      <c r="L730" s="193"/>
      <c r="M730" s="180"/>
      <c r="N730" s="180"/>
      <c r="O730" s="180"/>
      <c r="P730" s="180"/>
      <c r="Q730" s="180"/>
      <c r="R730" s="180"/>
      <c r="S730" s="24"/>
      <c r="T730" s="182"/>
      <c r="U730" s="24"/>
      <c r="V730" s="32"/>
      <c r="W730" s="240"/>
      <c r="X730" s="64"/>
      <c r="Y730" s="75"/>
      <c r="Z730" s="64"/>
      <c r="AA730" s="64"/>
      <c r="AB730" s="25"/>
      <c r="AC730" s="23"/>
      <c r="AD730" s="23"/>
      <c r="AE730" s="23"/>
      <c r="AF730" s="335"/>
      <c r="AG730" s="336"/>
      <c r="AH730" s="334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</row>
    <row r="731" spans="1:346" s="26" customFormat="1" ht="12" hidden="1" customHeight="1" x14ac:dyDescent="0.25">
      <c r="A731" s="21"/>
      <c r="B731" s="21"/>
      <c r="C731" s="22"/>
      <c r="D731" s="353"/>
      <c r="E731" s="73"/>
      <c r="F731" s="7"/>
      <c r="G731" s="7"/>
      <c r="H731" s="7"/>
      <c r="I731" s="180"/>
      <c r="J731" s="180"/>
      <c r="K731" s="284"/>
      <c r="L731" s="193"/>
      <c r="M731" s="180"/>
      <c r="N731" s="180"/>
      <c r="O731" s="180"/>
      <c r="P731" s="180"/>
      <c r="Q731" s="180"/>
      <c r="R731" s="180"/>
      <c r="S731" s="24"/>
      <c r="T731" s="182"/>
      <c r="U731" s="24"/>
      <c r="V731" s="32"/>
      <c r="W731" s="240"/>
      <c r="X731" s="64"/>
      <c r="Y731" s="75"/>
      <c r="Z731" s="64"/>
      <c r="AA731" s="64"/>
      <c r="AB731" s="25"/>
      <c r="AC731" s="23"/>
      <c r="AD731" s="23"/>
      <c r="AE731" s="23"/>
      <c r="AF731" s="335"/>
      <c r="AG731" s="336"/>
      <c r="AH731" s="334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</row>
    <row r="732" spans="1:346" s="26" customFormat="1" ht="12" hidden="1" customHeight="1" x14ac:dyDescent="0.25">
      <c r="A732" s="21"/>
      <c r="B732" s="21"/>
      <c r="C732" s="22"/>
      <c r="D732" s="353"/>
      <c r="E732" s="73"/>
      <c r="F732" s="7"/>
      <c r="G732" s="7"/>
      <c r="H732" s="7"/>
      <c r="I732" s="180"/>
      <c r="J732" s="180"/>
      <c r="K732" s="284"/>
      <c r="L732" s="193"/>
      <c r="M732" s="180"/>
      <c r="N732" s="180"/>
      <c r="O732" s="180"/>
      <c r="P732" s="180"/>
      <c r="Q732" s="180"/>
      <c r="R732" s="180"/>
      <c r="S732" s="24"/>
      <c r="T732" s="182"/>
      <c r="U732" s="24"/>
      <c r="V732" s="32"/>
      <c r="W732" s="240"/>
      <c r="X732" s="64"/>
      <c r="Y732" s="75"/>
      <c r="Z732" s="64"/>
      <c r="AA732" s="64"/>
      <c r="AB732" s="25"/>
      <c r="AC732" s="23"/>
      <c r="AD732" s="23"/>
      <c r="AE732" s="23"/>
      <c r="AF732" s="335"/>
      <c r="AG732" s="336"/>
      <c r="AH732" s="334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</row>
    <row r="733" spans="1:346" s="26" customFormat="1" ht="12" hidden="1" customHeight="1" x14ac:dyDescent="0.25">
      <c r="A733" s="21"/>
      <c r="B733" s="21"/>
      <c r="C733" s="22"/>
      <c r="D733" s="353"/>
      <c r="E733" s="73"/>
      <c r="F733" s="7"/>
      <c r="G733" s="7"/>
      <c r="H733" s="7"/>
      <c r="I733" s="180"/>
      <c r="J733" s="180"/>
      <c r="K733" s="284"/>
      <c r="L733" s="193"/>
      <c r="M733" s="180"/>
      <c r="N733" s="180"/>
      <c r="O733" s="180"/>
      <c r="P733" s="180"/>
      <c r="Q733" s="180"/>
      <c r="R733" s="180"/>
      <c r="S733" s="24"/>
      <c r="T733" s="182"/>
      <c r="U733" s="24"/>
      <c r="V733" s="32"/>
      <c r="W733" s="240"/>
      <c r="X733" s="64"/>
      <c r="Y733" s="75"/>
      <c r="Z733" s="64"/>
      <c r="AA733" s="64"/>
      <c r="AB733" s="25"/>
      <c r="AC733" s="23"/>
      <c r="AD733" s="23"/>
      <c r="AE733" s="23"/>
      <c r="AF733" s="335"/>
      <c r="AG733" s="336"/>
      <c r="AH733" s="334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</row>
    <row r="734" spans="1:346" s="26" customFormat="1" ht="12" hidden="1" customHeight="1" x14ac:dyDescent="0.25">
      <c r="A734" s="21"/>
      <c r="B734" s="21"/>
      <c r="C734" s="22"/>
      <c r="D734" s="353"/>
      <c r="E734" s="73"/>
      <c r="F734" s="7"/>
      <c r="G734" s="7"/>
      <c r="H734" s="7"/>
      <c r="I734" s="180"/>
      <c r="J734" s="180"/>
      <c r="K734" s="284"/>
      <c r="L734" s="193"/>
      <c r="M734" s="180"/>
      <c r="N734" s="180"/>
      <c r="O734" s="180"/>
      <c r="P734" s="180"/>
      <c r="Q734" s="180"/>
      <c r="R734" s="180"/>
      <c r="S734" s="24"/>
      <c r="T734" s="182"/>
      <c r="U734" s="24"/>
      <c r="V734" s="32"/>
      <c r="W734" s="240"/>
      <c r="X734" s="64"/>
      <c r="Y734" s="75"/>
      <c r="Z734" s="64"/>
      <c r="AA734" s="64"/>
      <c r="AB734" s="25"/>
      <c r="AC734" s="23"/>
      <c r="AD734" s="23"/>
      <c r="AE734" s="23"/>
      <c r="AF734" s="335"/>
      <c r="AG734" s="336"/>
      <c r="AH734" s="334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</row>
    <row r="735" spans="1:346" s="26" customFormat="1" ht="12" hidden="1" customHeight="1" x14ac:dyDescent="0.25">
      <c r="A735" s="21"/>
      <c r="B735" s="21"/>
      <c r="C735" s="22"/>
      <c r="D735" s="353"/>
      <c r="E735" s="73"/>
      <c r="F735" s="7"/>
      <c r="G735" s="7"/>
      <c r="H735" s="7"/>
      <c r="I735" s="180"/>
      <c r="J735" s="180"/>
      <c r="K735" s="284"/>
      <c r="L735" s="193"/>
      <c r="M735" s="180"/>
      <c r="N735" s="180"/>
      <c r="O735" s="180"/>
      <c r="P735" s="180"/>
      <c r="Q735" s="180"/>
      <c r="R735" s="180"/>
      <c r="S735" s="24"/>
      <c r="T735" s="182"/>
      <c r="U735" s="24"/>
      <c r="V735" s="32"/>
      <c r="W735" s="240"/>
      <c r="X735" s="64"/>
      <c r="Y735" s="75"/>
      <c r="Z735" s="64"/>
      <c r="AA735" s="64"/>
      <c r="AB735" s="25"/>
      <c r="AC735" s="23"/>
      <c r="AD735" s="23"/>
      <c r="AE735" s="23"/>
      <c r="AF735" s="335"/>
      <c r="AG735" s="336"/>
      <c r="AH735" s="334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</row>
    <row r="736" spans="1:346" s="26" customFormat="1" ht="12" hidden="1" customHeight="1" x14ac:dyDescent="0.25">
      <c r="A736" s="21"/>
      <c r="B736" s="21"/>
      <c r="C736" s="22"/>
      <c r="D736" s="353"/>
      <c r="E736" s="73"/>
      <c r="F736" s="7"/>
      <c r="G736" s="7"/>
      <c r="H736" s="7"/>
      <c r="I736" s="180"/>
      <c r="J736" s="180"/>
      <c r="K736" s="284"/>
      <c r="L736" s="193"/>
      <c r="M736" s="180"/>
      <c r="N736" s="180"/>
      <c r="O736" s="180"/>
      <c r="P736" s="180"/>
      <c r="Q736" s="180"/>
      <c r="R736" s="180"/>
      <c r="S736" s="24"/>
      <c r="T736" s="182"/>
      <c r="U736" s="24"/>
      <c r="V736" s="32"/>
      <c r="W736" s="240"/>
      <c r="X736" s="64"/>
      <c r="Y736" s="75"/>
      <c r="Z736" s="64"/>
      <c r="AA736" s="64"/>
      <c r="AB736" s="25"/>
      <c r="AC736" s="23"/>
      <c r="AD736" s="23"/>
      <c r="AE736" s="23"/>
      <c r="AF736" s="335"/>
      <c r="AG736" s="336"/>
      <c r="AH736" s="334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</row>
    <row r="737" spans="1:346" s="26" customFormat="1" ht="12" hidden="1" customHeight="1" x14ac:dyDescent="0.25">
      <c r="A737" s="21"/>
      <c r="B737" s="21"/>
      <c r="C737" s="22"/>
      <c r="D737" s="353"/>
      <c r="E737" s="73"/>
      <c r="F737" s="7"/>
      <c r="G737" s="7"/>
      <c r="H737" s="7"/>
      <c r="I737" s="180"/>
      <c r="J737" s="180"/>
      <c r="K737" s="284"/>
      <c r="L737" s="193"/>
      <c r="M737" s="180"/>
      <c r="N737" s="180"/>
      <c r="O737" s="180"/>
      <c r="P737" s="180"/>
      <c r="Q737" s="180"/>
      <c r="R737" s="180"/>
      <c r="S737" s="24"/>
      <c r="T737" s="182"/>
      <c r="U737" s="24"/>
      <c r="V737" s="32"/>
      <c r="W737" s="240"/>
      <c r="X737" s="64"/>
      <c r="Y737" s="75"/>
      <c r="Z737" s="64"/>
      <c r="AA737" s="64"/>
      <c r="AB737" s="25"/>
      <c r="AC737" s="23"/>
      <c r="AD737" s="23"/>
      <c r="AE737" s="23"/>
      <c r="AF737" s="335"/>
      <c r="AG737" s="336"/>
      <c r="AH737" s="334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</row>
    <row r="738" spans="1:346" s="26" customFormat="1" ht="12" hidden="1" customHeight="1" x14ac:dyDescent="0.25">
      <c r="A738" s="21"/>
      <c r="B738" s="21"/>
      <c r="C738" s="22"/>
      <c r="D738" s="353"/>
      <c r="E738" s="73"/>
      <c r="F738" s="7"/>
      <c r="G738" s="7"/>
      <c r="H738" s="7"/>
      <c r="I738" s="180"/>
      <c r="J738" s="180"/>
      <c r="K738" s="284"/>
      <c r="L738" s="193"/>
      <c r="M738" s="180"/>
      <c r="N738" s="180"/>
      <c r="O738" s="180"/>
      <c r="P738" s="180"/>
      <c r="Q738" s="180"/>
      <c r="R738" s="180"/>
      <c r="S738" s="24"/>
      <c r="T738" s="182"/>
      <c r="U738" s="24"/>
      <c r="V738" s="32"/>
      <c r="W738" s="240"/>
      <c r="X738" s="64"/>
      <c r="Y738" s="75"/>
      <c r="Z738" s="64"/>
      <c r="AA738" s="64"/>
      <c r="AB738" s="25"/>
      <c r="AC738" s="23"/>
      <c r="AD738" s="23"/>
      <c r="AE738" s="23"/>
      <c r="AF738" s="335"/>
      <c r="AG738" s="336"/>
      <c r="AH738" s="334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</row>
    <row r="739" spans="1:346" s="26" customFormat="1" ht="12" hidden="1" customHeight="1" x14ac:dyDescent="0.25">
      <c r="A739" s="21"/>
      <c r="B739" s="21"/>
      <c r="C739" s="22"/>
      <c r="D739" s="353"/>
      <c r="E739" s="73"/>
      <c r="F739" s="7"/>
      <c r="G739" s="7"/>
      <c r="H739" s="7"/>
      <c r="I739" s="180"/>
      <c r="J739" s="180"/>
      <c r="K739" s="284"/>
      <c r="L739" s="193"/>
      <c r="M739" s="180"/>
      <c r="N739" s="180"/>
      <c r="O739" s="180"/>
      <c r="P739" s="180"/>
      <c r="Q739" s="180"/>
      <c r="R739" s="180"/>
      <c r="S739" s="24"/>
      <c r="T739" s="182"/>
      <c r="U739" s="24"/>
      <c r="V739" s="32"/>
      <c r="W739" s="240"/>
      <c r="X739" s="64"/>
      <c r="Y739" s="75"/>
      <c r="Z739" s="64"/>
      <c r="AA739" s="64"/>
      <c r="AB739" s="25"/>
      <c r="AC739" s="23"/>
      <c r="AD739" s="23"/>
      <c r="AE739" s="23"/>
      <c r="AF739" s="335"/>
      <c r="AG739" s="336"/>
      <c r="AH739" s="334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</row>
    <row r="740" spans="1:346" s="26" customFormat="1" ht="12" hidden="1" customHeight="1" x14ac:dyDescent="0.25">
      <c r="A740" s="21"/>
      <c r="B740" s="21"/>
      <c r="C740" s="22"/>
      <c r="D740" s="353"/>
      <c r="E740" s="73"/>
      <c r="F740" s="7"/>
      <c r="G740" s="7"/>
      <c r="H740" s="7"/>
      <c r="I740" s="180"/>
      <c r="J740" s="180"/>
      <c r="K740" s="284"/>
      <c r="L740" s="193"/>
      <c r="M740" s="180"/>
      <c r="N740" s="180"/>
      <c r="O740" s="180"/>
      <c r="P740" s="180"/>
      <c r="Q740" s="180"/>
      <c r="R740" s="180"/>
      <c r="S740" s="24"/>
      <c r="T740" s="182"/>
      <c r="U740" s="24"/>
      <c r="V740" s="32"/>
      <c r="W740" s="240"/>
      <c r="X740" s="64"/>
      <c r="Y740" s="75"/>
      <c r="Z740" s="64"/>
      <c r="AA740" s="64"/>
      <c r="AB740" s="25"/>
      <c r="AC740" s="23"/>
      <c r="AD740" s="23"/>
      <c r="AE740" s="23"/>
      <c r="AF740" s="335"/>
      <c r="AG740" s="336"/>
      <c r="AH740" s="334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</row>
    <row r="741" spans="1:346" s="26" customFormat="1" ht="12" hidden="1" customHeight="1" x14ac:dyDescent="0.25">
      <c r="A741" s="21"/>
      <c r="B741" s="21"/>
      <c r="C741" s="22"/>
      <c r="D741" s="353"/>
      <c r="E741" s="73"/>
      <c r="F741" s="7"/>
      <c r="G741" s="7"/>
      <c r="H741" s="7"/>
      <c r="I741" s="180"/>
      <c r="J741" s="180"/>
      <c r="K741" s="284"/>
      <c r="L741" s="193"/>
      <c r="M741" s="180"/>
      <c r="N741" s="180"/>
      <c r="O741" s="180"/>
      <c r="P741" s="180"/>
      <c r="Q741" s="180"/>
      <c r="R741" s="180"/>
      <c r="S741" s="24"/>
      <c r="T741" s="182"/>
      <c r="U741" s="24"/>
      <c r="V741" s="32"/>
      <c r="W741" s="240"/>
      <c r="X741" s="64"/>
      <c r="Y741" s="75"/>
      <c r="Z741" s="64"/>
      <c r="AA741" s="64"/>
      <c r="AB741" s="25"/>
      <c r="AC741" s="23"/>
      <c r="AD741" s="23"/>
      <c r="AE741" s="23"/>
      <c r="AF741" s="335"/>
      <c r="AG741" s="336"/>
      <c r="AH741" s="334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</row>
    <row r="742" spans="1:346" s="26" customFormat="1" ht="12" hidden="1" customHeight="1" x14ac:dyDescent="0.25">
      <c r="A742" s="21"/>
      <c r="B742" s="21"/>
      <c r="C742" s="22"/>
      <c r="D742" s="353"/>
      <c r="E742" s="73"/>
      <c r="F742" s="7"/>
      <c r="G742" s="7"/>
      <c r="H742" s="7"/>
      <c r="I742" s="180"/>
      <c r="J742" s="180"/>
      <c r="K742" s="284"/>
      <c r="L742" s="193"/>
      <c r="M742" s="180"/>
      <c r="N742" s="180"/>
      <c r="O742" s="180"/>
      <c r="P742" s="180"/>
      <c r="Q742" s="180"/>
      <c r="R742" s="180"/>
      <c r="S742" s="24"/>
      <c r="T742" s="182"/>
      <c r="U742" s="24"/>
      <c r="V742" s="32"/>
      <c r="W742" s="240"/>
      <c r="X742" s="64"/>
      <c r="Y742" s="75"/>
      <c r="Z742" s="64"/>
      <c r="AA742" s="64"/>
      <c r="AB742" s="25"/>
      <c r="AC742" s="23"/>
      <c r="AD742" s="23"/>
      <c r="AE742" s="23"/>
      <c r="AF742" s="335"/>
      <c r="AG742" s="336"/>
      <c r="AH742" s="334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</row>
    <row r="743" spans="1:346" s="26" customFormat="1" ht="12" hidden="1" customHeight="1" x14ac:dyDescent="0.25">
      <c r="A743" s="21"/>
      <c r="B743" s="21"/>
      <c r="C743" s="22"/>
      <c r="D743" s="353"/>
      <c r="E743" s="73"/>
      <c r="F743" s="7"/>
      <c r="G743" s="7"/>
      <c r="H743" s="7"/>
      <c r="I743" s="180"/>
      <c r="J743" s="180"/>
      <c r="K743" s="284"/>
      <c r="L743" s="193"/>
      <c r="M743" s="180"/>
      <c r="N743" s="180"/>
      <c r="O743" s="180"/>
      <c r="P743" s="180"/>
      <c r="Q743" s="180"/>
      <c r="R743" s="180"/>
      <c r="S743" s="24"/>
      <c r="T743" s="182"/>
      <c r="U743" s="24"/>
      <c r="V743" s="32"/>
      <c r="W743" s="240"/>
      <c r="X743" s="64"/>
      <c r="Y743" s="75"/>
      <c r="Z743" s="64"/>
      <c r="AA743" s="64"/>
      <c r="AB743" s="25"/>
      <c r="AC743" s="23"/>
      <c r="AD743" s="23"/>
      <c r="AE743" s="23"/>
      <c r="AF743" s="335"/>
      <c r="AG743" s="336"/>
      <c r="AH743" s="334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</row>
    <row r="744" spans="1:346" s="26" customFormat="1" ht="12" hidden="1" customHeight="1" x14ac:dyDescent="0.25">
      <c r="A744" s="21"/>
      <c r="B744" s="21"/>
      <c r="C744" s="22"/>
      <c r="D744" s="353"/>
      <c r="E744" s="73"/>
      <c r="F744" s="7"/>
      <c r="G744" s="7"/>
      <c r="H744" s="7"/>
      <c r="I744" s="180"/>
      <c r="J744" s="180"/>
      <c r="K744" s="284"/>
      <c r="L744" s="193"/>
      <c r="M744" s="180"/>
      <c r="N744" s="180"/>
      <c r="O744" s="180"/>
      <c r="P744" s="180"/>
      <c r="Q744" s="180"/>
      <c r="R744" s="180"/>
      <c r="S744" s="24"/>
      <c r="T744" s="182"/>
      <c r="U744" s="24"/>
      <c r="V744" s="32"/>
      <c r="W744" s="240"/>
      <c r="X744" s="64"/>
      <c r="Y744" s="75"/>
      <c r="Z744" s="64"/>
      <c r="AA744" s="64"/>
      <c r="AB744" s="25"/>
      <c r="AC744" s="23"/>
      <c r="AD744" s="23"/>
      <c r="AE744" s="23"/>
      <c r="AF744" s="335"/>
      <c r="AG744" s="336"/>
      <c r="AH744" s="334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</row>
    <row r="745" spans="1:346" s="26" customFormat="1" ht="12" hidden="1" customHeight="1" x14ac:dyDescent="0.25">
      <c r="A745" s="21"/>
      <c r="B745" s="21"/>
      <c r="C745" s="22"/>
      <c r="D745" s="353"/>
      <c r="E745" s="73"/>
      <c r="F745" s="7"/>
      <c r="G745" s="7"/>
      <c r="H745" s="7"/>
      <c r="I745" s="180"/>
      <c r="J745" s="180"/>
      <c r="K745" s="284"/>
      <c r="L745" s="193"/>
      <c r="M745" s="180"/>
      <c r="N745" s="180"/>
      <c r="O745" s="180"/>
      <c r="P745" s="180"/>
      <c r="Q745" s="180"/>
      <c r="R745" s="180"/>
      <c r="S745" s="24"/>
      <c r="T745" s="182"/>
      <c r="U745" s="24"/>
      <c r="V745" s="32"/>
      <c r="W745" s="240"/>
      <c r="X745" s="64"/>
      <c r="Y745" s="75"/>
      <c r="Z745" s="64"/>
      <c r="AA745" s="64"/>
      <c r="AB745" s="25"/>
      <c r="AC745" s="23"/>
      <c r="AD745" s="23"/>
      <c r="AE745" s="23"/>
      <c r="AF745" s="335"/>
      <c r="AG745" s="336"/>
      <c r="AH745" s="334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</row>
    <row r="746" spans="1:346" s="26" customFormat="1" ht="12" hidden="1" customHeight="1" x14ac:dyDescent="0.25">
      <c r="A746" s="21"/>
      <c r="B746" s="21"/>
      <c r="C746" s="22"/>
      <c r="D746" s="353"/>
      <c r="E746" s="73"/>
      <c r="F746" s="7"/>
      <c r="G746" s="7"/>
      <c r="H746" s="7"/>
      <c r="I746" s="180"/>
      <c r="J746" s="180"/>
      <c r="K746" s="284"/>
      <c r="L746" s="193"/>
      <c r="M746" s="180"/>
      <c r="N746" s="180"/>
      <c r="O746" s="180"/>
      <c r="P746" s="180"/>
      <c r="Q746" s="180"/>
      <c r="R746" s="180"/>
      <c r="S746" s="24"/>
      <c r="T746" s="182"/>
      <c r="U746" s="24"/>
      <c r="V746" s="32"/>
      <c r="W746" s="240"/>
      <c r="X746" s="64"/>
      <c r="Y746" s="75"/>
      <c r="Z746" s="64"/>
      <c r="AA746" s="64"/>
      <c r="AB746" s="25"/>
      <c r="AC746" s="23"/>
      <c r="AD746" s="23"/>
      <c r="AE746" s="23"/>
      <c r="AF746" s="335"/>
      <c r="AG746" s="336"/>
      <c r="AH746" s="334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</row>
    <row r="747" spans="1:346" s="26" customFormat="1" ht="12" hidden="1" customHeight="1" x14ac:dyDescent="0.25">
      <c r="A747" s="21"/>
      <c r="B747" s="21"/>
      <c r="C747" s="22"/>
      <c r="D747" s="353"/>
      <c r="E747" s="73"/>
      <c r="F747" s="7"/>
      <c r="G747" s="7"/>
      <c r="H747" s="7"/>
      <c r="I747" s="180"/>
      <c r="J747" s="180"/>
      <c r="K747" s="284"/>
      <c r="L747" s="193"/>
      <c r="M747" s="180"/>
      <c r="N747" s="180"/>
      <c r="O747" s="180"/>
      <c r="P747" s="180"/>
      <c r="Q747" s="180"/>
      <c r="R747" s="180"/>
      <c r="S747" s="24"/>
      <c r="T747" s="182"/>
      <c r="U747" s="24"/>
      <c r="V747" s="32"/>
      <c r="W747" s="240"/>
      <c r="X747" s="64"/>
      <c r="Y747" s="75"/>
      <c r="Z747" s="64"/>
      <c r="AA747" s="64"/>
      <c r="AB747" s="25"/>
      <c r="AC747" s="23"/>
      <c r="AD747" s="23"/>
      <c r="AE747" s="23"/>
      <c r="AF747" s="335"/>
      <c r="AG747" s="336"/>
      <c r="AH747" s="334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</row>
    <row r="748" spans="1:346" s="26" customFormat="1" ht="12" hidden="1" customHeight="1" x14ac:dyDescent="0.25">
      <c r="A748" s="21"/>
      <c r="B748" s="21"/>
      <c r="C748" s="22"/>
      <c r="D748" s="353"/>
      <c r="E748" s="73"/>
      <c r="F748" s="7"/>
      <c r="G748" s="7"/>
      <c r="H748" s="7"/>
      <c r="I748" s="180"/>
      <c r="J748" s="180"/>
      <c r="K748" s="284"/>
      <c r="L748" s="193"/>
      <c r="M748" s="180"/>
      <c r="N748" s="180"/>
      <c r="O748" s="180"/>
      <c r="P748" s="180"/>
      <c r="Q748" s="180"/>
      <c r="R748" s="180"/>
      <c r="S748" s="24"/>
      <c r="T748" s="182"/>
      <c r="U748" s="24"/>
      <c r="V748" s="32"/>
      <c r="W748" s="240"/>
      <c r="X748" s="64"/>
      <c r="Y748" s="75"/>
      <c r="Z748" s="64"/>
      <c r="AA748" s="64"/>
      <c r="AB748" s="25"/>
      <c r="AC748" s="23"/>
      <c r="AD748" s="23"/>
      <c r="AE748" s="23"/>
      <c r="AF748" s="335"/>
      <c r="AG748" s="336"/>
      <c r="AH748" s="334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</row>
    <row r="749" spans="1:346" s="26" customFormat="1" ht="12" hidden="1" customHeight="1" x14ac:dyDescent="0.25">
      <c r="A749" s="21"/>
      <c r="B749" s="21"/>
      <c r="C749" s="22"/>
      <c r="D749" s="353"/>
      <c r="E749" s="73"/>
      <c r="F749" s="7"/>
      <c r="G749" s="7"/>
      <c r="H749" s="7"/>
      <c r="I749" s="180"/>
      <c r="J749" s="180"/>
      <c r="K749" s="284"/>
      <c r="L749" s="193"/>
      <c r="M749" s="180"/>
      <c r="N749" s="180"/>
      <c r="O749" s="180"/>
      <c r="P749" s="180"/>
      <c r="Q749" s="180"/>
      <c r="R749" s="180"/>
      <c r="S749" s="24"/>
      <c r="T749" s="182"/>
      <c r="U749" s="24"/>
      <c r="V749" s="32"/>
      <c r="W749" s="240"/>
      <c r="X749" s="64"/>
      <c r="Y749" s="75"/>
      <c r="Z749" s="64"/>
      <c r="AA749" s="64"/>
      <c r="AB749" s="25"/>
      <c r="AC749" s="23"/>
      <c r="AD749" s="23"/>
      <c r="AE749" s="23"/>
      <c r="AF749" s="335"/>
      <c r="AG749" s="336"/>
      <c r="AH749" s="334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</row>
    <row r="750" spans="1:346" s="26" customFormat="1" ht="12" hidden="1" customHeight="1" x14ac:dyDescent="0.25">
      <c r="A750" s="21"/>
      <c r="B750" s="21"/>
      <c r="C750" s="22"/>
      <c r="D750" s="353"/>
      <c r="E750" s="73"/>
      <c r="F750" s="7"/>
      <c r="G750" s="7"/>
      <c r="H750" s="7"/>
      <c r="I750" s="180"/>
      <c r="J750" s="180"/>
      <c r="K750" s="284"/>
      <c r="L750" s="193"/>
      <c r="M750" s="180"/>
      <c r="N750" s="180"/>
      <c r="O750" s="180"/>
      <c r="P750" s="180"/>
      <c r="Q750" s="180"/>
      <c r="R750" s="180"/>
      <c r="S750" s="24"/>
      <c r="T750" s="182"/>
      <c r="U750" s="24"/>
      <c r="V750" s="32"/>
      <c r="W750" s="240"/>
      <c r="X750" s="64"/>
      <c r="Y750" s="75"/>
      <c r="Z750" s="64"/>
      <c r="AA750" s="64"/>
      <c r="AB750" s="25"/>
      <c r="AC750" s="23"/>
      <c r="AD750" s="23"/>
      <c r="AE750" s="23"/>
      <c r="AF750" s="335"/>
      <c r="AG750" s="336"/>
      <c r="AH750" s="334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</row>
    <row r="751" spans="1:346" s="26" customFormat="1" ht="12" hidden="1" customHeight="1" x14ac:dyDescent="0.25">
      <c r="A751" s="21"/>
      <c r="B751" s="21"/>
      <c r="C751" s="22"/>
      <c r="D751" s="353"/>
      <c r="E751" s="73"/>
      <c r="F751" s="7"/>
      <c r="G751" s="7"/>
      <c r="H751" s="7"/>
      <c r="I751" s="180"/>
      <c r="J751" s="180"/>
      <c r="K751" s="284"/>
      <c r="L751" s="193"/>
      <c r="M751" s="180"/>
      <c r="N751" s="180"/>
      <c r="O751" s="180"/>
      <c r="P751" s="180"/>
      <c r="Q751" s="180"/>
      <c r="R751" s="180"/>
      <c r="S751" s="24"/>
      <c r="T751" s="182"/>
      <c r="U751" s="24"/>
      <c r="V751" s="32"/>
      <c r="W751" s="240"/>
      <c r="X751" s="64"/>
      <c r="Y751" s="75"/>
      <c r="Z751" s="64"/>
      <c r="AA751" s="64"/>
      <c r="AB751" s="25"/>
      <c r="AC751" s="23"/>
      <c r="AD751" s="23"/>
      <c r="AE751" s="23"/>
      <c r="AF751" s="335"/>
      <c r="AG751" s="336"/>
      <c r="AH751" s="334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</row>
    <row r="752" spans="1:346" s="26" customFormat="1" ht="12" hidden="1" customHeight="1" x14ac:dyDescent="0.25">
      <c r="A752" s="21"/>
      <c r="B752" s="21"/>
      <c r="C752" s="22"/>
      <c r="D752" s="353"/>
      <c r="E752" s="73"/>
      <c r="F752" s="7"/>
      <c r="G752" s="7"/>
      <c r="H752" s="7"/>
      <c r="I752" s="180"/>
      <c r="J752" s="180"/>
      <c r="K752" s="284"/>
      <c r="L752" s="193"/>
      <c r="M752" s="180"/>
      <c r="N752" s="180"/>
      <c r="O752" s="180"/>
      <c r="P752" s="180"/>
      <c r="Q752" s="180"/>
      <c r="R752" s="180"/>
      <c r="S752" s="24"/>
      <c r="T752" s="182"/>
      <c r="U752" s="24"/>
      <c r="V752" s="32"/>
      <c r="W752" s="240"/>
      <c r="X752" s="64"/>
      <c r="Y752" s="75"/>
      <c r="Z752" s="64"/>
      <c r="AA752" s="64"/>
      <c r="AB752" s="25"/>
      <c r="AC752" s="23"/>
      <c r="AD752" s="23"/>
      <c r="AE752" s="23"/>
      <c r="AF752" s="335"/>
      <c r="AG752" s="336"/>
      <c r="AH752" s="334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</row>
    <row r="753" spans="1:346" s="26" customFormat="1" ht="12" hidden="1" customHeight="1" x14ac:dyDescent="0.25">
      <c r="A753" s="21"/>
      <c r="B753" s="21"/>
      <c r="C753" s="22"/>
      <c r="D753" s="353"/>
      <c r="E753" s="73"/>
      <c r="F753" s="7"/>
      <c r="G753" s="7"/>
      <c r="H753" s="7"/>
      <c r="I753" s="180"/>
      <c r="J753" s="180"/>
      <c r="K753" s="284"/>
      <c r="L753" s="193"/>
      <c r="M753" s="180"/>
      <c r="N753" s="180"/>
      <c r="O753" s="180"/>
      <c r="P753" s="180"/>
      <c r="Q753" s="180"/>
      <c r="R753" s="180"/>
      <c r="S753" s="24"/>
      <c r="T753" s="182"/>
      <c r="U753" s="24"/>
      <c r="V753" s="32"/>
      <c r="W753" s="240"/>
      <c r="X753" s="64"/>
      <c r="Y753" s="75"/>
      <c r="Z753" s="64"/>
      <c r="AA753" s="64"/>
      <c r="AB753" s="25"/>
      <c r="AC753" s="23"/>
      <c r="AD753" s="23"/>
      <c r="AE753" s="23"/>
      <c r="AF753" s="335"/>
      <c r="AG753" s="336"/>
      <c r="AH753" s="334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</row>
    <row r="754" spans="1:346" s="26" customFormat="1" ht="12" hidden="1" customHeight="1" x14ac:dyDescent="0.25">
      <c r="A754" s="21"/>
      <c r="B754" s="21"/>
      <c r="C754" s="22"/>
      <c r="D754" s="353"/>
      <c r="E754" s="73"/>
      <c r="F754" s="7"/>
      <c r="G754" s="7"/>
      <c r="H754" s="7"/>
      <c r="I754" s="180"/>
      <c r="J754" s="180"/>
      <c r="K754" s="284"/>
      <c r="L754" s="193"/>
      <c r="M754" s="180"/>
      <c r="N754" s="180"/>
      <c r="O754" s="180"/>
      <c r="P754" s="180"/>
      <c r="Q754" s="180"/>
      <c r="R754" s="180"/>
      <c r="S754" s="24"/>
      <c r="T754" s="182"/>
      <c r="U754" s="24"/>
      <c r="V754" s="32"/>
      <c r="W754" s="240"/>
      <c r="X754" s="64"/>
      <c r="Y754" s="75"/>
      <c r="Z754" s="64"/>
      <c r="AA754" s="64"/>
      <c r="AB754" s="25"/>
      <c r="AC754" s="23"/>
      <c r="AD754" s="23"/>
      <c r="AE754" s="23"/>
      <c r="AF754" s="335"/>
      <c r="AG754" s="336"/>
      <c r="AH754" s="334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</row>
    <row r="755" spans="1:346" s="26" customFormat="1" ht="12" hidden="1" customHeight="1" x14ac:dyDescent="0.25">
      <c r="A755" s="21"/>
      <c r="B755" s="21"/>
      <c r="C755" s="22"/>
      <c r="D755" s="353"/>
      <c r="E755" s="73"/>
      <c r="F755" s="7"/>
      <c r="G755" s="7"/>
      <c r="H755" s="7"/>
      <c r="I755" s="180"/>
      <c r="J755" s="180"/>
      <c r="K755" s="284"/>
      <c r="L755" s="193"/>
      <c r="M755" s="180"/>
      <c r="N755" s="180"/>
      <c r="O755" s="180"/>
      <c r="P755" s="180"/>
      <c r="Q755" s="180"/>
      <c r="R755" s="180"/>
      <c r="S755" s="24"/>
      <c r="T755" s="182"/>
      <c r="U755" s="24"/>
      <c r="V755" s="32"/>
      <c r="W755" s="240"/>
      <c r="X755" s="64"/>
      <c r="Y755" s="75"/>
      <c r="Z755" s="64"/>
      <c r="AA755" s="64"/>
      <c r="AB755" s="25"/>
      <c r="AC755" s="23"/>
      <c r="AD755" s="23"/>
      <c r="AE755" s="23"/>
      <c r="AF755" s="335"/>
      <c r="AG755" s="336"/>
      <c r="AH755" s="334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</row>
    <row r="756" spans="1:346" s="25" customFormat="1" x14ac:dyDescent="0.25">
      <c r="A756" s="279"/>
      <c r="B756" s="349"/>
      <c r="C756" s="280"/>
      <c r="D756" s="354"/>
      <c r="E756" s="280"/>
      <c r="F756" s="280"/>
      <c r="G756" s="280"/>
      <c r="H756" s="280"/>
      <c r="I756" s="281"/>
      <c r="J756" s="280"/>
      <c r="K756" s="280"/>
      <c r="L756" s="280"/>
      <c r="M756" s="280"/>
      <c r="N756" s="280"/>
      <c r="O756" s="280"/>
      <c r="P756" s="280"/>
      <c r="Q756" s="280"/>
      <c r="R756" s="280"/>
      <c r="S756" s="282"/>
      <c r="T756" s="280"/>
      <c r="U756" s="280"/>
      <c r="V756" s="280"/>
      <c r="W756" s="280"/>
      <c r="X756" s="283">
        <f>SUBTOTAL(9,X3:X755)</f>
        <v>9599724.2599999979</v>
      </c>
      <c r="Y756" s="20"/>
      <c r="Z756" s="283">
        <f>SUBTOTAL(9,Z3:Z755)</f>
        <v>95212.479999999981</v>
      </c>
      <c r="AA756" s="283">
        <f>SUBTOTAL(9,AA3:AA755)</f>
        <v>30458.472800000003</v>
      </c>
      <c r="AF756" s="336"/>
      <c r="AG756" s="28"/>
      <c r="AH756" s="20"/>
    </row>
    <row r="757" spans="1:346" s="25" customFormat="1" x14ac:dyDescent="0.25">
      <c r="B757" s="350"/>
      <c r="D757" s="355"/>
      <c r="I757" s="58"/>
      <c r="M757" s="58"/>
      <c r="N757" s="27"/>
      <c r="O757" s="27"/>
      <c r="P757" s="27"/>
      <c r="Q757" s="27"/>
      <c r="R757" s="27"/>
      <c r="S757" s="31"/>
      <c r="T757" s="31"/>
      <c r="U757" s="31"/>
      <c r="V757" s="31"/>
      <c r="W757" s="31"/>
      <c r="AF757" s="337"/>
      <c r="AG757" s="28"/>
      <c r="AH757" s="20"/>
    </row>
    <row r="758" spans="1:346" s="25" customFormat="1" x14ac:dyDescent="0.25">
      <c r="B758" s="350"/>
      <c r="D758" s="355"/>
      <c r="I758" s="58"/>
      <c r="M758" s="31"/>
      <c r="N758" s="31"/>
      <c r="O758" s="31"/>
      <c r="P758" s="31"/>
      <c r="Q758" s="31"/>
      <c r="R758" s="31"/>
      <c r="S758" s="31"/>
      <c r="T758" s="33"/>
      <c r="U758" s="33"/>
      <c r="V758" s="33"/>
      <c r="W758" s="33"/>
      <c r="X758" s="31"/>
      <c r="AF758" s="28"/>
      <c r="AG758" s="28"/>
      <c r="AH758" s="20"/>
    </row>
    <row r="759" spans="1:346" s="25" customFormat="1" x14ac:dyDescent="0.25">
      <c r="A759" s="152"/>
      <c r="B759" s="351"/>
      <c r="C759" s="152"/>
      <c r="D759" s="356"/>
      <c r="E759" s="152"/>
      <c r="F759" s="152"/>
      <c r="G759" s="152"/>
      <c r="H759" s="152"/>
      <c r="I759" s="153"/>
      <c r="J759" s="152"/>
      <c r="K759" s="152"/>
      <c r="L759" s="152"/>
      <c r="M759" s="154"/>
      <c r="N759" s="152"/>
      <c r="O759" s="152"/>
      <c r="P759" s="152"/>
      <c r="Q759" s="152"/>
      <c r="R759" s="152"/>
      <c r="S759" s="152"/>
      <c r="T759" s="225"/>
      <c r="U759" s="225"/>
      <c r="V759" s="225"/>
      <c r="W759" s="225"/>
      <c r="X759" s="153"/>
      <c r="AF759" s="28"/>
      <c r="AG759" s="28"/>
      <c r="AH759" s="20"/>
    </row>
    <row r="760" spans="1:346" s="25" customFormat="1" x14ac:dyDescent="0.25">
      <c r="A760" s="443" t="s">
        <v>185</v>
      </c>
      <c r="B760" s="444"/>
      <c r="C760" s="444"/>
      <c r="D760" s="444"/>
      <c r="E760" s="444"/>
      <c r="F760" s="444"/>
      <c r="G760" s="444"/>
      <c r="H760" s="444"/>
      <c r="I760" s="444"/>
      <c r="J760" s="444"/>
      <c r="K760" s="444"/>
      <c r="L760" s="444"/>
      <c r="M760" s="444"/>
      <c r="N760" s="444"/>
      <c r="O760" s="444"/>
      <c r="P760" s="444"/>
      <c r="Q760" s="444"/>
      <c r="R760" s="444"/>
      <c r="S760" s="444"/>
      <c r="T760" s="444"/>
      <c r="U760" s="444"/>
      <c r="V760" s="444"/>
      <c r="W760" s="444"/>
      <c r="X760" s="445"/>
      <c r="Y760" s="20"/>
      <c r="AF760" s="28"/>
      <c r="AG760" s="28"/>
      <c r="AH760" s="20"/>
    </row>
    <row r="761" spans="1:346" s="25" customFormat="1" x14ac:dyDescent="0.25">
      <c r="A761" s="440"/>
      <c r="B761" s="432"/>
      <c r="C761" s="432"/>
      <c r="D761" s="432"/>
      <c r="E761" s="432"/>
      <c r="F761" s="432"/>
      <c r="G761" s="432"/>
      <c r="H761" s="432"/>
      <c r="I761" s="432"/>
      <c r="J761" s="432"/>
      <c r="K761" s="432"/>
      <c r="L761" s="183"/>
      <c r="M761" s="432"/>
      <c r="N761" s="432"/>
      <c r="O761" s="230"/>
      <c r="P761" s="230"/>
      <c r="Q761" s="230"/>
      <c r="R761" s="230"/>
      <c r="S761" s="230"/>
      <c r="T761" s="230"/>
      <c r="U761" s="28"/>
      <c r="V761" s="28"/>
      <c r="W761" s="28"/>
      <c r="X761" s="227"/>
      <c r="Y761" s="20"/>
      <c r="AF761" s="155"/>
      <c r="AG761" s="155"/>
    </row>
    <row r="762" spans="1:346" s="25" customFormat="1" x14ac:dyDescent="0.2">
      <c r="A762" s="436" t="s">
        <v>186</v>
      </c>
      <c r="B762" s="437"/>
      <c r="C762" s="437"/>
      <c r="D762" s="437"/>
      <c r="E762" s="437"/>
      <c r="F762" s="437"/>
      <c r="G762" s="437"/>
      <c r="H762" s="437"/>
      <c r="I762" s="437"/>
      <c r="J762" s="437"/>
      <c r="K762" s="437"/>
      <c r="L762" s="186"/>
      <c r="M762" s="157" t="s">
        <v>187</v>
      </c>
      <c r="N762" s="56"/>
      <c r="O762" s="75"/>
      <c r="P762" s="75"/>
      <c r="Q762" s="75"/>
      <c r="R762" s="75"/>
      <c r="S762" s="75"/>
      <c r="T762" s="75"/>
      <c r="U762" s="28"/>
      <c r="V762" s="28"/>
      <c r="W762" s="28"/>
      <c r="X762" s="227"/>
      <c r="Y762" s="20"/>
    </row>
    <row r="763" spans="1:346" s="25" customFormat="1" x14ac:dyDescent="0.25">
      <c r="A763" s="274" t="s">
        <v>188</v>
      </c>
      <c r="B763" s="183"/>
      <c r="C763" s="6"/>
      <c r="D763" s="187"/>
      <c r="E763" s="6"/>
      <c r="F763" s="6"/>
      <c r="G763" s="6"/>
      <c r="H763" s="6"/>
      <c r="I763" s="6"/>
      <c r="J763" s="6"/>
      <c r="K763" s="6"/>
      <c r="L763" s="187"/>
      <c r="M763" s="6" t="s">
        <v>189</v>
      </c>
      <c r="N763" s="6"/>
      <c r="O763" s="75"/>
      <c r="P763" s="75"/>
      <c r="Q763" s="75"/>
      <c r="R763" s="75"/>
      <c r="S763" s="75"/>
      <c r="T763" s="75"/>
      <c r="U763" s="28"/>
      <c r="V763" s="28"/>
      <c r="W763" s="28"/>
      <c r="X763" s="227"/>
      <c r="Y763" s="20"/>
    </row>
    <row r="764" spans="1:346" s="25" customFormat="1" x14ac:dyDescent="0.25">
      <c r="A764" s="274"/>
      <c r="B764" s="183"/>
      <c r="C764" s="6"/>
      <c r="D764" s="187"/>
      <c r="E764" s="6"/>
      <c r="F764" s="6"/>
      <c r="G764" s="6"/>
      <c r="H764" s="6"/>
      <c r="I764" s="6"/>
      <c r="J764" s="6"/>
      <c r="K764" s="6"/>
      <c r="L764" s="187"/>
      <c r="M764" s="6" t="s">
        <v>190</v>
      </c>
      <c r="N764" s="6"/>
      <c r="O764" s="75"/>
      <c r="P764" s="75"/>
      <c r="Q764" s="75"/>
      <c r="R764" s="75"/>
      <c r="S764" s="75"/>
      <c r="T764" s="75"/>
      <c r="U764" s="28"/>
      <c r="V764" s="28"/>
      <c r="W764" s="28"/>
      <c r="X764" s="227"/>
      <c r="Y764" s="20"/>
    </row>
    <row r="765" spans="1:346" s="25" customFormat="1" x14ac:dyDescent="0.25">
      <c r="A765" s="436" t="s">
        <v>191</v>
      </c>
      <c r="B765" s="437"/>
      <c r="C765" s="437"/>
      <c r="D765" s="437"/>
      <c r="E765" s="437"/>
      <c r="F765" s="437"/>
      <c r="G765" s="437"/>
      <c r="H765" s="437"/>
      <c r="I765" s="437"/>
      <c r="J765" s="437"/>
      <c r="K765" s="437"/>
      <c r="L765" s="186"/>
      <c r="M765" s="6" t="s">
        <v>192</v>
      </c>
      <c r="N765" s="6"/>
      <c r="O765" s="75"/>
      <c r="P765" s="75"/>
      <c r="Q765" s="75"/>
      <c r="R765" s="75"/>
      <c r="S765" s="75"/>
      <c r="T765" s="75"/>
      <c r="U765" s="28"/>
      <c r="V765" s="28"/>
      <c r="W765" s="28"/>
      <c r="X765" s="227"/>
      <c r="Y765" s="20"/>
    </row>
    <row r="766" spans="1:346" s="25" customFormat="1" x14ac:dyDescent="0.25">
      <c r="A766" s="438" t="s">
        <v>193</v>
      </c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187"/>
      <c r="M766" s="6" t="s">
        <v>194</v>
      </c>
      <c r="N766" s="6"/>
      <c r="O766" s="75"/>
      <c r="P766" s="75"/>
      <c r="Q766" s="75"/>
      <c r="R766" s="75"/>
      <c r="S766" s="75"/>
      <c r="T766" s="75"/>
      <c r="U766" s="28"/>
      <c r="V766" s="28"/>
      <c r="W766" s="28"/>
      <c r="X766" s="227"/>
      <c r="Y766" s="20"/>
    </row>
    <row r="767" spans="1:346" s="25" customFormat="1" x14ac:dyDescent="0.25">
      <c r="A767" s="440"/>
      <c r="B767" s="432"/>
      <c r="C767" s="432"/>
      <c r="D767" s="432"/>
      <c r="E767" s="432"/>
      <c r="F767" s="432"/>
      <c r="G767" s="432"/>
      <c r="H767" s="432"/>
      <c r="I767" s="432"/>
      <c r="J767" s="432"/>
      <c r="K767" s="432"/>
      <c r="L767" s="183"/>
      <c r="M767" s="6" t="s">
        <v>195</v>
      </c>
      <c r="N767" s="6"/>
      <c r="O767" s="75"/>
      <c r="P767" s="75"/>
      <c r="Q767" s="75"/>
      <c r="R767" s="75"/>
      <c r="S767" s="75"/>
      <c r="T767" s="75"/>
      <c r="U767" s="28"/>
      <c r="V767" s="28"/>
      <c r="W767" s="28"/>
      <c r="X767" s="227"/>
      <c r="Y767" s="20"/>
    </row>
    <row r="768" spans="1:346" s="25" customFormat="1" x14ac:dyDescent="0.25">
      <c r="A768" s="436" t="s">
        <v>196</v>
      </c>
      <c r="B768" s="437"/>
      <c r="C768" s="437"/>
      <c r="D768" s="437"/>
      <c r="E768" s="437"/>
      <c r="F768" s="437"/>
      <c r="G768" s="437"/>
      <c r="H768" s="437"/>
      <c r="I768" s="437"/>
      <c r="J768" s="437"/>
      <c r="K768" s="437"/>
      <c r="L768" s="186"/>
      <c r="M768" s="6" t="s">
        <v>197</v>
      </c>
      <c r="N768" s="6"/>
      <c r="O768" s="75"/>
      <c r="P768" s="75"/>
      <c r="Q768" s="75"/>
      <c r="R768" s="75"/>
      <c r="S768" s="75"/>
      <c r="T768" s="75"/>
      <c r="U768" s="28"/>
      <c r="V768" s="28"/>
      <c r="W768" s="28"/>
      <c r="X768" s="227"/>
      <c r="Y768" s="20"/>
    </row>
    <row r="769" spans="1:25" s="25" customFormat="1" x14ac:dyDescent="0.25">
      <c r="A769" s="441" t="s">
        <v>198</v>
      </c>
      <c r="B769" s="442"/>
      <c r="C769" s="339"/>
      <c r="D769" s="357"/>
      <c r="E769" s="433" t="s">
        <v>199</v>
      </c>
      <c r="F769" s="433"/>
      <c r="G769" s="433"/>
      <c r="H769" s="433"/>
      <c r="I769" s="433"/>
      <c r="J769" s="433"/>
      <c r="K769" s="433"/>
      <c r="L769" s="184"/>
      <c r="M769" s="439"/>
      <c r="N769" s="439"/>
      <c r="O769" s="75"/>
      <c r="P769" s="75"/>
      <c r="Q769" s="75"/>
      <c r="R769" s="75"/>
      <c r="S769" s="75"/>
      <c r="T769" s="75"/>
      <c r="U769" s="28"/>
      <c r="V769" s="28"/>
      <c r="W769" s="28"/>
      <c r="X769" s="227"/>
      <c r="Y769" s="20"/>
    </row>
    <row r="770" spans="1:25" s="25" customFormat="1" x14ac:dyDescent="0.25">
      <c r="A770" s="450"/>
      <c r="B770" s="451"/>
      <c r="C770" s="26"/>
      <c r="D770" s="184"/>
      <c r="E770" s="433" t="s">
        <v>200</v>
      </c>
      <c r="F770" s="433"/>
      <c r="G770" s="433"/>
      <c r="H770" s="433"/>
      <c r="I770" s="433"/>
      <c r="J770" s="433"/>
      <c r="K770" s="433"/>
      <c r="L770" s="184"/>
      <c r="M770" s="157" t="s">
        <v>201</v>
      </c>
      <c r="N770" s="157"/>
      <c r="O770" s="75"/>
      <c r="P770" s="75"/>
      <c r="Q770" s="75"/>
      <c r="R770" s="75"/>
      <c r="S770" s="75"/>
      <c r="T770" s="75"/>
      <c r="U770" s="28"/>
      <c r="V770" s="28"/>
      <c r="W770" s="28"/>
      <c r="X770" s="227"/>
      <c r="Y770" s="20"/>
    </row>
    <row r="771" spans="1:25" s="25" customFormat="1" x14ac:dyDescent="0.25">
      <c r="A771" s="450"/>
      <c r="B771" s="451"/>
      <c r="C771" s="26"/>
      <c r="D771" s="184"/>
      <c r="E771" s="433" t="s">
        <v>202</v>
      </c>
      <c r="F771" s="433"/>
      <c r="G771" s="433"/>
      <c r="H771" s="433"/>
      <c r="I771" s="433"/>
      <c r="J771" s="433"/>
      <c r="K771" s="433"/>
      <c r="L771" s="184"/>
      <c r="M771" s="6" t="s">
        <v>203</v>
      </c>
      <c r="N771" s="6"/>
      <c r="O771" s="75"/>
      <c r="P771" s="75"/>
      <c r="Q771" s="75"/>
      <c r="R771" s="75"/>
      <c r="S771" s="75"/>
      <c r="T771" s="75"/>
      <c r="U771" s="28"/>
      <c r="V771" s="28"/>
      <c r="W771" s="28"/>
      <c r="X771" s="227"/>
      <c r="Y771" s="20"/>
    </row>
    <row r="772" spans="1:25" s="25" customFormat="1" x14ac:dyDescent="0.25">
      <c r="A772" s="450"/>
      <c r="B772" s="451"/>
      <c r="C772" s="26"/>
      <c r="D772" s="184"/>
      <c r="E772" s="452" t="s">
        <v>204</v>
      </c>
      <c r="F772" s="452"/>
      <c r="G772" s="452"/>
      <c r="H772" s="452"/>
      <c r="I772" s="452"/>
      <c r="J772" s="452"/>
      <c r="K772" s="452"/>
      <c r="L772" s="185"/>
      <c r="M772" s="6" t="s">
        <v>190</v>
      </c>
      <c r="N772" s="6"/>
      <c r="O772" s="75"/>
      <c r="P772" s="75"/>
      <c r="Q772" s="75"/>
      <c r="R772" s="75"/>
      <c r="S772" s="75"/>
      <c r="T772" s="75"/>
      <c r="U772" s="28"/>
      <c r="V772" s="28"/>
      <c r="W772" s="28"/>
      <c r="X772" s="227"/>
      <c r="Y772" s="20"/>
    </row>
    <row r="773" spans="1:25" s="25" customFormat="1" x14ac:dyDescent="0.25">
      <c r="A773" s="441" t="s">
        <v>205</v>
      </c>
      <c r="B773" s="442"/>
      <c r="C773" s="339"/>
      <c r="D773" s="357"/>
      <c r="E773" s="433" t="s">
        <v>206</v>
      </c>
      <c r="F773" s="433"/>
      <c r="G773" s="433"/>
      <c r="H773" s="433"/>
      <c r="I773" s="433"/>
      <c r="J773" s="433"/>
      <c r="K773" s="433"/>
      <c r="L773" s="184"/>
      <c r="M773" s="6" t="s">
        <v>207</v>
      </c>
      <c r="N773" s="6"/>
      <c r="O773" s="75"/>
      <c r="P773" s="75"/>
      <c r="Q773" s="75"/>
      <c r="R773" s="75"/>
      <c r="S773" s="75"/>
      <c r="T773" s="75"/>
      <c r="U773" s="28"/>
      <c r="V773" s="28"/>
      <c r="W773" s="28"/>
      <c r="X773" s="227"/>
      <c r="Y773" s="20"/>
    </row>
    <row r="774" spans="1:25" s="25" customFormat="1" x14ac:dyDescent="0.25">
      <c r="A774" s="441" t="s">
        <v>208</v>
      </c>
      <c r="B774" s="442"/>
      <c r="C774" s="339"/>
      <c r="D774" s="357"/>
      <c r="E774" s="448" t="s">
        <v>209</v>
      </c>
      <c r="F774" s="448"/>
      <c r="G774" s="448"/>
      <c r="H774" s="448"/>
      <c r="I774" s="448"/>
      <c r="J774" s="448"/>
      <c r="K774" s="448"/>
      <c r="L774" s="184"/>
      <c r="M774" s="6" t="s">
        <v>210</v>
      </c>
      <c r="N774" s="6"/>
      <c r="O774" s="75"/>
      <c r="P774" s="75"/>
      <c r="Q774" s="75"/>
      <c r="R774" s="75"/>
      <c r="S774" s="75"/>
      <c r="T774" s="75"/>
      <c r="U774" s="28"/>
      <c r="V774" s="28"/>
      <c r="W774" s="28"/>
      <c r="X774" s="227"/>
      <c r="Y774" s="20"/>
    </row>
    <row r="775" spans="1:25" s="25" customFormat="1" x14ac:dyDescent="0.25">
      <c r="A775" s="440"/>
      <c r="B775" s="432"/>
      <c r="C775" s="432"/>
      <c r="D775" s="432"/>
      <c r="E775" s="432"/>
      <c r="F775" s="432"/>
      <c r="G775" s="432"/>
      <c r="H775" s="432"/>
      <c r="I775" s="432"/>
      <c r="J775" s="432"/>
      <c r="K775" s="432"/>
      <c r="L775" s="183"/>
      <c r="M775" s="6" t="s">
        <v>195</v>
      </c>
      <c r="N775" s="6"/>
      <c r="O775" s="75"/>
      <c r="P775" s="75"/>
      <c r="Q775" s="75"/>
      <c r="R775" s="75"/>
      <c r="S775" s="75"/>
      <c r="T775" s="75"/>
      <c r="U775" s="28"/>
      <c r="V775" s="28"/>
      <c r="W775" s="28"/>
      <c r="X775" s="227"/>
      <c r="Y775" s="20"/>
    </row>
    <row r="776" spans="1:25" s="25" customFormat="1" x14ac:dyDescent="0.25">
      <c r="A776" s="285"/>
      <c r="B776" s="183"/>
      <c r="C776" s="183"/>
      <c r="D776" s="187"/>
      <c r="E776" s="183"/>
      <c r="F776" s="183"/>
      <c r="G776" s="183"/>
      <c r="H776" s="183"/>
      <c r="I776" s="183"/>
      <c r="J776" s="183"/>
      <c r="K776" s="183"/>
      <c r="L776" s="183"/>
      <c r="M776" s="6" t="s">
        <v>211</v>
      </c>
      <c r="N776" s="6"/>
      <c r="O776" s="286"/>
      <c r="P776" s="286"/>
      <c r="Q776" s="286"/>
      <c r="R776" s="286"/>
      <c r="S776" s="286"/>
      <c r="T776" s="286"/>
      <c r="U776" s="28"/>
      <c r="V776" s="28"/>
      <c r="W776" s="28"/>
      <c r="X776" s="227"/>
      <c r="Y776" s="20"/>
    </row>
    <row r="777" spans="1:25" s="25" customFormat="1" x14ac:dyDescent="0.25">
      <c r="A777" s="453"/>
      <c r="B777" s="454"/>
      <c r="C777" s="454"/>
      <c r="D777" s="454"/>
      <c r="E777" s="454"/>
      <c r="F777" s="454"/>
      <c r="G777" s="454"/>
      <c r="H777" s="454"/>
      <c r="I777" s="454"/>
      <c r="J777" s="454"/>
      <c r="K777" s="454"/>
      <c r="L777" s="287"/>
      <c r="M777" s="288" t="s">
        <v>212</v>
      </c>
      <c r="N777" s="289"/>
      <c r="O777" s="226"/>
      <c r="P777" s="226"/>
      <c r="Q777" s="226"/>
      <c r="R777" s="226"/>
      <c r="S777" s="226"/>
      <c r="T777" s="226"/>
      <c r="U777" s="228"/>
      <c r="V777" s="228"/>
      <c r="W777" s="228"/>
      <c r="X777" s="229"/>
      <c r="Y777" s="20"/>
    </row>
    <row r="778" spans="1:25" s="25" customFormat="1" x14ac:dyDescent="0.25">
      <c r="A778" s="155"/>
      <c r="B778" s="352"/>
      <c r="C778" s="155"/>
      <c r="D778" s="358"/>
      <c r="E778" s="155"/>
      <c r="F778" s="155"/>
      <c r="G778" s="155"/>
      <c r="H778" s="155"/>
      <c r="I778" s="156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8"/>
      <c r="U778" s="158"/>
      <c r="V778" s="158"/>
      <c r="W778" s="158"/>
      <c r="X778" s="155"/>
    </row>
    <row r="779" spans="1:25" s="25" customFormat="1" x14ac:dyDescent="0.25">
      <c r="B779" s="350"/>
      <c r="D779" s="355"/>
      <c r="I779" s="58"/>
      <c r="T779" s="20"/>
      <c r="U779" s="20"/>
      <c r="V779" s="20"/>
      <c r="W779" s="20"/>
    </row>
    <row r="780" spans="1:25" s="25" customFormat="1" x14ac:dyDescent="0.25">
      <c r="B780" s="350"/>
      <c r="D780" s="355"/>
      <c r="I780" s="58"/>
      <c r="T780" s="20"/>
      <c r="U780" s="20"/>
      <c r="V780" s="20"/>
      <c r="W780" s="20"/>
    </row>
    <row r="781" spans="1:25" s="25" customFormat="1" x14ac:dyDescent="0.25">
      <c r="B781" s="350"/>
      <c r="D781" s="355"/>
      <c r="I781" s="58"/>
      <c r="T781" s="20"/>
      <c r="U781" s="20"/>
      <c r="V781" s="20"/>
      <c r="W781" s="20"/>
    </row>
    <row r="782" spans="1:25" s="25" customFormat="1" x14ac:dyDescent="0.25">
      <c r="B782" s="350"/>
      <c r="D782" s="355"/>
      <c r="I782" s="58"/>
      <c r="T782" s="20"/>
      <c r="U782" s="20"/>
      <c r="V782" s="20"/>
      <c r="W782" s="20"/>
    </row>
    <row r="783" spans="1:25" s="25" customFormat="1" x14ac:dyDescent="0.25">
      <c r="B783" s="350"/>
      <c r="D783" s="355"/>
      <c r="I783" s="58"/>
      <c r="T783" s="20"/>
      <c r="U783" s="20"/>
      <c r="V783" s="20"/>
      <c r="W783" s="20"/>
    </row>
    <row r="784" spans="1:25" s="25" customFormat="1" x14ac:dyDescent="0.25">
      <c r="B784" s="350"/>
      <c r="D784" s="355"/>
      <c r="I784" s="58"/>
      <c r="T784" s="20"/>
      <c r="U784" s="20"/>
      <c r="V784" s="20"/>
      <c r="W784" s="20"/>
    </row>
    <row r="785" spans="2:23" s="25" customFormat="1" x14ac:dyDescent="0.25">
      <c r="B785" s="350"/>
      <c r="D785" s="355"/>
      <c r="I785" s="58"/>
      <c r="T785" s="20"/>
      <c r="U785" s="20"/>
      <c r="V785" s="20"/>
      <c r="W785" s="20"/>
    </row>
    <row r="786" spans="2:23" s="25" customFormat="1" x14ac:dyDescent="0.25">
      <c r="B786" s="350"/>
      <c r="D786" s="355"/>
      <c r="I786" s="58"/>
      <c r="T786" s="20"/>
      <c r="U786" s="20"/>
      <c r="V786" s="20"/>
      <c r="W786" s="20"/>
    </row>
    <row r="787" spans="2:23" s="25" customFormat="1" x14ac:dyDescent="0.25">
      <c r="B787" s="350"/>
      <c r="D787" s="355"/>
      <c r="I787" s="58"/>
      <c r="T787" s="20"/>
      <c r="U787" s="20"/>
      <c r="V787" s="20"/>
      <c r="W787" s="20"/>
    </row>
    <row r="788" spans="2:23" s="25" customFormat="1" x14ac:dyDescent="0.25">
      <c r="B788" s="350"/>
      <c r="D788" s="355"/>
      <c r="I788" s="58"/>
      <c r="T788" s="20"/>
      <c r="U788" s="20"/>
      <c r="V788" s="20"/>
      <c r="W788" s="20"/>
    </row>
    <row r="789" spans="2:23" s="25" customFormat="1" x14ac:dyDescent="0.25">
      <c r="B789" s="350"/>
      <c r="D789" s="355"/>
      <c r="I789" s="58"/>
      <c r="T789" s="20"/>
      <c r="U789" s="20"/>
      <c r="V789" s="20"/>
      <c r="W789" s="20"/>
    </row>
    <row r="790" spans="2:23" s="25" customFormat="1" x14ac:dyDescent="0.25">
      <c r="B790" s="350"/>
      <c r="D790" s="355"/>
      <c r="I790" s="58"/>
      <c r="T790" s="20"/>
      <c r="U790" s="20"/>
      <c r="V790" s="20"/>
      <c r="W790" s="20"/>
    </row>
    <row r="791" spans="2:23" s="25" customFormat="1" x14ac:dyDescent="0.25">
      <c r="B791" s="350"/>
      <c r="D791" s="355"/>
      <c r="G791" s="36"/>
      <c r="H791" s="36"/>
      <c r="I791" s="449"/>
      <c r="J791" s="449"/>
      <c r="K791" s="167"/>
      <c r="L791" s="167"/>
      <c r="M791" s="168"/>
      <c r="N791" s="167"/>
      <c r="O791" s="167"/>
      <c r="P791" s="167"/>
      <c r="Q791" s="167"/>
      <c r="R791" s="167"/>
      <c r="S791" s="168"/>
      <c r="T791" s="168"/>
      <c r="U791" s="168"/>
      <c r="V791" s="168"/>
      <c r="W791" s="168"/>
    </row>
    <row r="792" spans="2:23" s="25" customFormat="1" x14ac:dyDescent="0.25">
      <c r="B792" s="350"/>
      <c r="D792" s="355"/>
      <c r="I792" s="58"/>
      <c r="M792" s="27"/>
      <c r="N792" s="27"/>
      <c r="O792" s="27"/>
      <c r="P792" s="27"/>
      <c r="Q792" s="27"/>
      <c r="R792" s="27"/>
    </row>
    <row r="793" spans="2:23" s="25" customFormat="1" x14ac:dyDescent="0.25">
      <c r="B793" s="350"/>
      <c r="D793" s="355"/>
      <c r="I793" s="58"/>
      <c r="M793" s="27"/>
      <c r="N793" s="27"/>
      <c r="O793" s="27"/>
      <c r="P793" s="27"/>
      <c r="Q793" s="27"/>
      <c r="R793" s="27"/>
    </row>
    <row r="794" spans="2:23" s="25" customFormat="1" x14ac:dyDescent="0.25">
      <c r="B794" s="350"/>
      <c r="D794" s="355"/>
      <c r="I794" s="58"/>
      <c r="M794" s="27"/>
      <c r="N794" s="27"/>
      <c r="O794" s="27"/>
      <c r="P794" s="27"/>
      <c r="Q794" s="27"/>
      <c r="R794" s="27"/>
    </row>
    <row r="795" spans="2:23" s="25" customFormat="1" x14ac:dyDescent="0.25">
      <c r="B795" s="350"/>
      <c r="D795" s="355"/>
      <c r="I795" s="58"/>
      <c r="M795" s="27"/>
      <c r="N795" s="27"/>
      <c r="O795" s="27"/>
      <c r="P795" s="27"/>
      <c r="Q795" s="27"/>
      <c r="R795" s="27"/>
    </row>
    <row r="796" spans="2:23" s="25" customFormat="1" x14ac:dyDescent="0.25">
      <c r="B796" s="350"/>
      <c r="D796" s="355"/>
      <c r="I796" s="58"/>
      <c r="M796" s="27"/>
      <c r="N796" s="27"/>
      <c r="O796" s="27"/>
      <c r="P796" s="27"/>
      <c r="Q796" s="27"/>
      <c r="R796" s="27"/>
    </row>
    <row r="797" spans="2:23" s="25" customFormat="1" x14ac:dyDescent="0.25">
      <c r="B797" s="350"/>
      <c r="D797" s="355"/>
      <c r="I797" s="58"/>
      <c r="M797" s="27"/>
      <c r="N797" s="27"/>
      <c r="O797" s="27"/>
      <c r="P797" s="27"/>
      <c r="Q797" s="27"/>
      <c r="R797" s="27"/>
    </row>
    <row r="798" spans="2:23" s="25" customFormat="1" x14ac:dyDescent="0.25">
      <c r="B798" s="350"/>
      <c r="D798" s="355"/>
      <c r="I798" s="58"/>
      <c r="M798" s="27"/>
      <c r="N798" s="27"/>
      <c r="O798" s="27"/>
      <c r="P798" s="27"/>
      <c r="Q798" s="27"/>
      <c r="R798" s="27"/>
    </row>
    <row r="799" spans="2:23" s="25" customFormat="1" x14ac:dyDescent="0.25">
      <c r="B799" s="350"/>
      <c r="D799" s="355"/>
      <c r="I799" s="58"/>
      <c r="M799" s="27"/>
      <c r="N799" s="27"/>
      <c r="O799" s="27"/>
      <c r="P799" s="27"/>
      <c r="Q799" s="27"/>
      <c r="R799" s="27"/>
    </row>
    <row r="800" spans="2:23" s="25" customFormat="1" x14ac:dyDescent="0.25">
      <c r="B800" s="350"/>
      <c r="D800" s="355"/>
      <c r="I800" s="58"/>
      <c r="M800" s="27"/>
      <c r="N800" s="27"/>
      <c r="O800" s="27"/>
      <c r="P800" s="27"/>
      <c r="Q800" s="27"/>
      <c r="R800" s="27"/>
    </row>
    <row r="801" spans="2:18" s="25" customFormat="1" x14ac:dyDescent="0.25">
      <c r="B801" s="350"/>
      <c r="D801" s="355"/>
      <c r="I801" s="58"/>
      <c r="M801" s="27"/>
      <c r="N801" s="27"/>
      <c r="O801" s="27"/>
      <c r="P801" s="27"/>
      <c r="Q801" s="27"/>
      <c r="R801" s="27"/>
    </row>
    <row r="802" spans="2:18" s="25" customFormat="1" x14ac:dyDescent="0.25">
      <c r="B802" s="350"/>
      <c r="D802" s="355"/>
      <c r="I802" s="58"/>
      <c r="M802" s="27"/>
      <c r="N802" s="27"/>
      <c r="O802" s="27"/>
      <c r="P802" s="27"/>
      <c r="Q802" s="27"/>
      <c r="R802" s="27"/>
    </row>
    <row r="803" spans="2:18" s="25" customFormat="1" x14ac:dyDescent="0.25">
      <c r="B803" s="350"/>
      <c r="D803" s="355"/>
      <c r="I803" s="58"/>
      <c r="M803" s="27"/>
      <c r="N803" s="27"/>
      <c r="O803" s="27"/>
      <c r="P803" s="27"/>
      <c r="Q803" s="27"/>
      <c r="R803" s="27"/>
    </row>
    <row r="804" spans="2:18" s="25" customFormat="1" x14ac:dyDescent="0.25">
      <c r="B804" s="350"/>
      <c r="D804" s="355"/>
      <c r="I804" s="58"/>
      <c r="M804" s="27"/>
      <c r="N804" s="27"/>
      <c r="O804" s="27"/>
      <c r="P804" s="27"/>
      <c r="Q804" s="27"/>
      <c r="R804" s="27"/>
    </row>
    <row r="805" spans="2:18" s="25" customFormat="1" x14ac:dyDescent="0.25">
      <c r="B805" s="350"/>
      <c r="D805" s="355"/>
      <c r="I805" s="58"/>
      <c r="M805" s="27"/>
      <c r="N805" s="27"/>
      <c r="O805" s="27"/>
      <c r="P805" s="27"/>
      <c r="Q805" s="27"/>
      <c r="R805" s="27"/>
    </row>
    <row r="806" spans="2:18" s="25" customFormat="1" x14ac:dyDescent="0.25">
      <c r="B806" s="350"/>
      <c r="D806" s="355"/>
      <c r="I806" s="58"/>
      <c r="M806" s="27"/>
      <c r="N806" s="27"/>
      <c r="O806" s="27"/>
      <c r="P806" s="27"/>
      <c r="Q806" s="27"/>
      <c r="R806" s="27"/>
    </row>
    <row r="807" spans="2:18" s="25" customFormat="1" x14ac:dyDescent="0.25">
      <c r="B807" s="350"/>
      <c r="D807" s="355"/>
      <c r="I807" s="58"/>
      <c r="M807" s="27"/>
      <c r="N807" s="27"/>
      <c r="O807" s="27"/>
      <c r="P807" s="27"/>
      <c r="Q807" s="27"/>
      <c r="R807" s="27"/>
    </row>
    <row r="808" spans="2:18" s="25" customFormat="1" x14ac:dyDescent="0.25">
      <c r="B808" s="350"/>
      <c r="D808" s="355"/>
      <c r="I808" s="58"/>
      <c r="M808" s="27"/>
      <c r="N808" s="27"/>
      <c r="O808" s="27"/>
      <c r="P808" s="27"/>
      <c r="Q808" s="27"/>
      <c r="R808" s="27"/>
    </row>
    <row r="809" spans="2:18" s="25" customFormat="1" x14ac:dyDescent="0.25">
      <c r="B809" s="350"/>
      <c r="D809" s="355"/>
      <c r="I809" s="58"/>
      <c r="M809" s="27"/>
      <c r="N809" s="27"/>
      <c r="O809" s="27"/>
      <c r="P809" s="27"/>
      <c r="Q809" s="27"/>
      <c r="R809" s="27"/>
    </row>
    <row r="810" spans="2:18" s="25" customFormat="1" x14ac:dyDescent="0.25">
      <c r="B810" s="350"/>
      <c r="D810" s="355"/>
      <c r="I810" s="58"/>
      <c r="M810" s="27"/>
      <c r="N810" s="27"/>
      <c r="O810" s="27"/>
      <c r="P810" s="27"/>
      <c r="Q810" s="27"/>
      <c r="R810" s="27"/>
    </row>
    <row r="811" spans="2:18" s="25" customFormat="1" x14ac:dyDescent="0.25">
      <c r="B811" s="350"/>
      <c r="D811" s="355"/>
      <c r="I811" s="58"/>
      <c r="M811" s="27"/>
      <c r="N811" s="27"/>
      <c r="O811" s="27"/>
      <c r="P811" s="27"/>
      <c r="Q811" s="27"/>
      <c r="R811" s="27"/>
    </row>
    <row r="812" spans="2:18" s="25" customFormat="1" x14ac:dyDescent="0.25">
      <c r="B812" s="350"/>
      <c r="D812" s="355"/>
      <c r="I812" s="58"/>
      <c r="M812" s="27"/>
      <c r="N812" s="27"/>
      <c r="O812" s="27"/>
      <c r="P812" s="27"/>
      <c r="Q812" s="27"/>
      <c r="R812" s="27"/>
    </row>
    <row r="813" spans="2:18" s="25" customFormat="1" x14ac:dyDescent="0.25">
      <c r="B813" s="350"/>
      <c r="D813" s="355"/>
      <c r="I813" s="58"/>
      <c r="M813" s="27"/>
      <c r="N813" s="27"/>
      <c r="O813" s="27"/>
      <c r="P813" s="27"/>
      <c r="Q813" s="27"/>
      <c r="R813" s="27"/>
    </row>
    <row r="814" spans="2:18" s="25" customFormat="1" x14ac:dyDescent="0.25">
      <c r="B814" s="350"/>
      <c r="D814" s="355"/>
      <c r="I814" s="58"/>
      <c r="M814" s="27"/>
      <c r="N814" s="27"/>
      <c r="O814" s="27"/>
      <c r="P814" s="27"/>
      <c r="Q814" s="27"/>
      <c r="R814" s="27"/>
    </row>
    <row r="815" spans="2:18" s="25" customFormat="1" x14ac:dyDescent="0.25">
      <c r="B815" s="350"/>
      <c r="D815" s="355"/>
      <c r="I815" s="58"/>
      <c r="M815" s="27"/>
      <c r="N815" s="27"/>
      <c r="O815" s="27"/>
      <c r="P815" s="27"/>
      <c r="Q815" s="27"/>
      <c r="R815" s="27"/>
    </row>
    <row r="816" spans="2:18" s="25" customFormat="1" x14ac:dyDescent="0.25">
      <c r="B816" s="350"/>
      <c r="D816" s="355"/>
      <c r="I816" s="58"/>
      <c r="M816" s="27"/>
      <c r="N816" s="27"/>
      <c r="O816" s="27"/>
      <c r="P816" s="27"/>
      <c r="Q816" s="27"/>
      <c r="R816" s="27"/>
    </row>
    <row r="817" spans="2:18" s="25" customFormat="1" x14ac:dyDescent="0.25">
      <c r="B817" s="350"/>
      <c r="D817" s="355"/>
      <c r="I817" s="58"/>
      <c r="M817" s="27"/>
      <c r="N817" s="27"/>
      <c r="O817" s="27"/>
      <c r="P817" s="27"/>
      <c r="Q817" s="27"/>
      <c r="R817" s="27"/>
    </row>
    <row r="818" spans="2:18" s="25" customFormat="1" x14ac:dyDescent="0.25">
      <c r="B818" s="350"/>
      <c r="D818" s="355"/>
      <c r="I818" s="58"/>
      <c r="M818" s="27"/>
      <c r="N818" s="27"/>
      <c r="O818" s="27"/>
      <c r="P818" s="27"/>
      <c r="Q818" s="27"/>
      <c r="R818" s="27"/>
    </row>
    <row r="819" spans="2:18" s="25" customFormat="1" x14ac:dyDescent="0.25">
      <c r="B819" s="350"/>
      <c r="D819" s="355"/>
      <c r="I819" s="58"/>
      <c r="M819" s="27"/>
      <c r="N819" s="27"/>
      <c r="O819" s="27"/>
      <c r="P819" s="27"/>
      <c r="Q819" s="27"/>
      <c r="R819" s="27"/>
    </row>
    <row r="820" spans="2:18" s="25" customFormat="1" x14ac:dyDescent="0.25">
      <c r="B820" s="350"/>
      <c r="D820" s="355"/>
      <c r="I820" s="58"/>
      <c r="M820" s="27"/>
      <c r="N820" s="27"/>
      <c r="O820" s="27"/>
      <c r="P820" s="27"/>
      <c r="Q820" s="27"/>
      <c r="R820" s="27"/>
    </row>
    <row r="821" spans="2:18" s="25" customFormat="1" x14ac:dyDescent="0.25">
      <c r="B821" s="350"/>
      <c r="D821" s="355"/>
      <c r="I821" s="58"/>
      <c r="M821" s="27"/>
      <c r="N821" s="27"/>
      <c r="O821" s="27"/>
      <c r="P821" s="27"/>
      <c r="Q821" s="27"/>
      <c r="R821" s="27"/>
    </row>
    <row r="822" spans="2:18" s="25" customFormat="1" x14ac:dyDescent="0.25">
      <c r="B822" s="350"/>
      <c r="D822" s="355"/>
      <c r="I822" s="58"/>
      <c r="M822" s="27"/>
      <c r="N822" s="27"/>
      <c r="O822" s="27"/>
      <c r="P822" s="27"/>
      <c r="Q822" s="27"/>
      <c r="R822" s="27"/>
    </row>
    <row r="823" spans="2:18" s="25" customFormat="1" x14ac:dyDescent="0.25">
      <c r="B823" s="350"/>
      <c r="D823" s="355"/>
      <c r="I823" s="58"/>
      <c r="M823" s="27"/>
      <c r="N823" s="27"/>
      <c r="O823" s="27"/>
      <c r="P823" s="27"/>
      <c r="Q823" s="27"/>
      <c r="R823" s="27"/>
    </row>
    <row r="824" spans="2:18" s="25" customFormat="1" x14ac:dyDescent="0.25">
      <c r="B824" s="350"/>
      <c r="D824" s="355"/>
      <c r="I824" s="58"/>
      <c r="M824" s="27"/>
      <c r="N824" s="27"/>
      <c r="O824" s="27"/>
      <c r="P824" s="27"/>
      <c r="Q824" s="27"/>
      <c r="R824" s="27"/>
    </row>
    <row r="825" spans="2:18" s="25" customFormat="1" x14ac:dyDescent="0.25">
      <c r="B825" s="350"/>
      <c r="D825" s="355"/>
      <c r="I825" s="58"/>
      <c r="M825" s="27"/>
      <c r="N825" s="27"/>
      <c r="O825" s="27"/>
      <c r="P825" s="27"/>
      <c r="Q825" s="27"/>
      <c r="R825" s="27"/>
    </row>
    <row r="826" spans="2:18" s="25" customFormat="1" x14ac:dyDescent="0.25">
      <c r="B826" s="350"/>
      <c r="D826" s="355"/>
      <c r="I826" s="58"/>
      <c r="M826" s="27"/>
      <c r="N826" s="27"/>
      <c r="O826" s="27"/>
      <c r="P826" s="27"/>
      <c r="Q826" s="27"/>
      <c r="R826" s="27"/>
    </row>
    <row r="827" spans="2:18" s="25" customFormat="1" x14ac:dyDescent="0.25">
      <c r="B827" s="350"/>
      <c r="D827" s="355"/>
      <c r="I827" s="58"/>
      <c r="M827" s="27"/>
      <c r="N827" s="27"/>
      <c r="O827" s="27"/>
      <c r="P827" s="27"/>
      <c r="Q827" s="27"/>
      <c r="R827" s="27"/>
    </row>
    <row r="828" spans="2:18" s="25" customFormat="1" x14ac:dyDescent="0.25">
      <c r="B828" s="350"/>
      <c r="D828" s="355"/>
      <c r="I828" s="58"/>
      <c r="M828" s="27"/>
      <c r="N828" s="27"/>
      <c r="O828" s="27"/>
      <c r="P828" s="27"/>
      <c r="Q828" s="27"/>
      <c r="R828" s="27"/>
    </row>
    <row r="829" spans="2:18" s="25" customFormat="1" x14ac:dyDescent="0.25">
      <c r="B829" s="350"/>
      <c r="D829" s="355"/>
      <c r="I829" s="58"/>
      <c r="M829" s="27"/>
      <c r="N829" s="27"/>
      <c r="O829" s="27"/>
      <c r="P829" s="27"/>
      <c r="Q829" s="27"/>
      <c r="R829" s="27"/>
    </row>
    <row r="830" spans="2:18" s="25" customFormat="1" x14ac:dyDescent="0.25">
      <c r="B830" s="350"/>
      <c r="D830" s="355"/>
      <c r="I830" s="58"/>
      <c r="M830" s="27"/>
      <c r="N830" s="27"/>
      <c r="O830" s="27"/>
      <c r="P830" s="27"/>
      <c r="Q830" s="27"/>
      <c r="R830" s="27"/>
    </row>
    <row r="831" spans="2:18" s="25" customFormat="1" x14ac:dyDescent="0.25">
      <c r="B831" s="350"/>
      <c r="D831" s="355"/>
      <c r="I831" s="58"/>
      <c r="M831" s="27"/>
      <c r="N831" s="27"/>
      <c r="O831" s="27"/>
      <c r="P831" s="27"/>
      <c r="Q831" s="27"/>
      <c r="R831" s="27"/>
    </row>
    <row r="832" spans="2:18" s="25" customFormat="1" x14ac:dyDescent="0.25">
      <c r="B832" s="350"/>
      <c r="D832" s="355"/>
      <c r="I832" s="58"/>
      <c r="M832" s="27"/>
      <c r="N832" s="27"/>
      <c r="O832" s="27"/>
      <c r="P832" s="27"/>
      <c r="Q832" s="27"/>
      <c r="R832" s="27"/>
    </row>
    <row r="833" spans="2:18" s="25" customFormat="1" x14ac:dyDescent="0.25">
      <c r="B833" s="350"/>
      <c r="D833" s="355"/>
      <c r="I833" s="58"/>
      <c r="M833" s="27"/>
      <c r="N833" s="27"/>
      <c r="O833" s="27"/>
      <c r="P833" s="27"/>
      <c r="Q833" s="27"/>
      <c r="R833" s="27"/>
    </row>
    <row r="834" spans="2:18" s="25" customFormat="1" x14ac:dyDescent="0.25">
      <c r="B834" s="350"/>
      <c r="D834" s="355"/>
      <c r="I834" s="58"/>
      <c r="M834" s="27"/>
      <c r="N834" s="27"/>
      <c r="O834" s="27"/>
      <c r="P834" s="27"/>
      <c r="Q834" s="27"/>
      <c r="R834" s="27"/>
    </row>
    <row r="835" spans="2:18" s="25" customFormat="1" x14ac:dyDescent="0.25">
      <c r="B835" s="350"/>
      <c r="D835" s="355"/>
      <c r="I835" s="58"/>
      <c r="M835" s="27"/>
      <c r="N835" s="27"/>
      <c r="O835" s="27"/>
      <c r="P835" s="27"/>
      <c r="Q835" s="27"/>
      <c r="R835" s="27"/>
    </row>
    <row r="836" spans="2:18" s="25" customFormat="1" x14ac:dyDescent="0.25">
      <c r="B836" s="350"/>
      <c r="D836" s="355"/>
      <c r="I836" s="58"/>
      <c r="M836" s="27"/>
      <c r="N836" s="27"/>
      <c r="O836" s="27"/>
      <c r="P836" s="27"/>
      <c r="Q836" s="27"/>
      <c r="R836" s="27"/>
    </row>
    <row r="837" spans="2:18" s="25" customFormat="1" x14ac:dyDescent="0.25">
      <c r="B837" s="350"/>
      <c r="D837" s="355"/>
      <c r="I837" s="58"/>
      <c r="M837" s="27"/>
      <c r="N837" s="27"/>
      <c r="O837" s="27"/>
      <c r="P837" s="27"/>
      <c r="Q837" s="27"/>
      <c r="R837" s="27"/>
    </row>
    <row r="838" spans="2:18" s="25" customFormat="1" x14ac:dyDescent="0.25">
      <c r="B838" s="350"/>
      <c r="D838" s="355"/>
      <c r="I838" s="58"/>
      <c r="M838" s="27"/>
      <c r="N838" s="27"/>
      <c r="O838" s="27"/>
      <c r="P838" s="27"/>
      <c r="Q838" s="27"/>
      <c r="R838" s="27"/>
    </row>
    <row r="839" spans="2:18" s="25" customFormat="1" x14ac:dyDescent="0.25">
      <c r="B839" s="350"/>
      <c r="D839" s="355"/>
      <c r="I839" s="58"/>
      <c r="M839" s="27"/>
      <c r="N839" s="27"/>
      <c r="O839" s="27"/>
      <c r="P839" s="27"/>
      <c r="Q839" s="27"/>
      <c r="R839" s="27"/>
    </row>
    <row r="840" spans="2:18" s="25" customFormat="1" x14ac:dyDescent="0.25">
      <c r="B840" s="350"/>
      <c r="D840" s="355"/>
      <c r="I840" s="58"/>
      <c r="M840" s="27"/>
      <c r="N840" s="27"/>
      <c r="O840" s="27"/>
      <c r="P840" s="27"/>
      <c r="Q840" s="27"/>
      <c r="R840" s="27"/>
    </row>
    <row r="841" spans="2:18" s="25" customFormat="1" x14ac:dyDescent="0.25">
      <c r="B841" s="350"/>
      <c r="D841" s="355"/>
      <c r="I841" s="58"/>
      <c r="M841" s="27"/>
      <c r="N841" s="27"/>
      <c r="O841" s="27"/>
      <c r="P841" s="27"/>
      <c r="Q841" s="27"/>
      <c r="R841" s="27"/>
    </row>
    <row r="842" spans="2:18" s="25" customFormat="1" x14ac:dyDescent="0.25">
      <c r="B842" s="350"/>
      <c r="D842" s="355"/>
      <c r="I842" s="58"/>
      <c r="M842" s="27"/>
      <c r="N842" s="27"/>
      <c r="O842" s="27"/>
      <c r="P842" s="27"/>
      <c r="Q842" s="27"/>
      <c r="R842" s="27"/>
    </row>
    <row r="843" spans="2:18" s="25" customFormat="1" x14ac:dyDescent="0.25">
      <c r="B843" s="350"/>
      <c r="D843" s="355"/>
      <c r="I843" s="58"/>
      <c r="M843" s="27"/>
      <c r="N843" s="27"/>
      <c r="O843" s="27"/>
      <c r="P843" s="27"/>
      <c r="Q843" s="27"/>
      <c r="R843" s="27"/>
    </row>
    <row r="844" spans="2:18" s="25" customFormat="1" x14ac:dyDescent="0.25">
      <c r="B844" s="350"/>
      <c r="D844" s="355"/>
      <c r="I844" s="58"/>
      <c r="M844" s="27"/>
      <c r="N844" s="27"/>
      <c r="O844" s="27"/>
      <c r="P844" s="27"/>
      <c r="Q844" s="27"/>
      <c r="R844" s="27"/>
    </row>
    <row r="845" spans="2:18" s="25" customFormat="1" x14ac:dyDescent="0.25">
      <c r="B845" s="350"/>
      <c r="D845" s="355"/>
      <c r="I845" s="58"/>
      <c r="M845" s="27"/>
      <c r="N845" s="27"/>
      <c r="O845" s="27"/>
      <c r="P845" s="27"/>
      <c r="Q845" s="27"/>
      <c r="R845" s="27"/>
    </row>
    <row r="846" spans="2:18" s="25" customFormat="1" x14ac:dyDescent="0.25">
      <c r="B846" s="350"/>
      <c r="D846" s="355"/>
      <c r="I846" s="58"/>
      <c r="M846" s="27"/>
      <c r="N846" s="27"/>
      <c r="O846" s="27"/>
      <c r="P846" s="27"/>
      <c r="Q846" s="27"/>
      <c r="R846" s="27"/>
    </row>
    <row r="847" spans="2:18" s="25" customFormat="1" x14ac:dyDescent="0.25">
      <c r="B847" s="350"/>
      <c r="D847" s="355"/>
      <c r="I847" s="58"/>
      <c r="M847" s="27"/>
      <c r="N847" s="27"/>
      <c r="O847" s="27"/>
      <c r="P847" s="27"/>
      <c r="Q847" s="27"/>
      <c r="R847" s="27"/>
    </row>
    <row r="848" spans="2:18" s="25" customFormat="1" x14ac:dyDescent="0.25">
      <c r="B848" s="350"/>
      <c r="D848" s="355"/>
      <c r="I848" s="58"/>
      <c r="M848" s="27"/>
      <c r="N848" s="27"/>
      <c r="O848" s="27"/>
      <c r="P848" s="27"/>
      <c r="Q848" s="27"/>
      <c r="R848" s="27"/>
    </row>
    <row r="849" spans="2:18" s="25" customFormat="1" x14ac:dyDescent="0.25">
      <c r="B849" s="350"/>
      <c r="D849" s="355"/>
      <c r="I849" s="58"/>
      <c r="M849" s="27"/>
      <c r="N849" s="27"/>
      <c r="O849" s="27"/>
      <c r="P849" s="27"/>
      <c r="Q849" s="27"/>
      <c r="R849" s="27"/>
    </row>
    <row r="850" spans="2:18" s="25" customFormat="1" x14ac:dyDescent="0.25">
      <c r="B850" s="350"/>
      <c r="D850" s="355"/>
      <c r="I850" s="58"/>
      <c r="M850" s="27"/>
      <c r="N850" s="27"/>
      <c r="O850" s="27"/>
      <c r="P850" s="27"/>
      <c r="Q850" s="27"/>
      <c r="R850" s="27"/>
    </row>
    <row r="851" spans="2:18" s="25" customFormat="1" x14ac:dyDescent="0.25">
      <c r="B851" s="350"/>
      <c r="D851" s="355"/>
      <c r="I851" s="58"/>
      <c r="M851" s="27"/>
      <c r="N851" s="27"/>
      <c r="O851" s="27"/>
      <c r="P851" s="27"/>
      <c r="Q851" s="27"/>
      <c r="R851" s="27"/>
    </row>
    <row r="852" spans="2:18" s="25" customFormat="1" x14ac:dyDescent="0.25">
      <c r="B852" s="350"/>
      <c r="D852" s="355"/>
      <c r="I852" s="58"/>
      <c r="M852" s="27"/>
      <c r="N852" s="27"/>
      <c r="O852" s="27"/>
      <c r="P852" s="27"/>
      <c r="Q852" s="27"/>
      <c r="R852" s="27"/>
    </row>
    <row r="853" spans="2:18" s="25" customFormat="1" x14ac:dyDescent="0.25">
      <c r="B853" s="350"/>
      <c r="D853" s="355"/>
      <c r="I853" s="58"/>
      <c r="M853" s="27"/>
      <c r="N853" s="27"/>
      <c r="O853" s="27"/>
      <c r="P853" s="27"/>
      <c r="Q853" s="27"/>
      <c r="R853" s="27"/>
    </row>
    <row r="854" spans="2:18" s="25" customFormat="1" x14ac:dyDescent="0.25">
      <c r="B854" s="350"/>
      <c r="D854" s="355"/>
      <c r="I854" s="58"/>
      <c r="M854" s="27"/>
      <c r="N854" s="27"/>
      <c r="O854" s="27"/>
      <c r="P854" s="27"/>
      <c r="Q854" s="27"/>
      <c r="R854" s="27"/>
    </row>
    <row r="855" spans="2:18" s="25" customFormat="1" x14ac:dyDescent="0.25">
      <c r="B855" s="350"/>
      <c r="D855" s="355"/>
      <c r="I855" s="58"/>
      <c r="M855" s="27"/>
      <c r="N855" s="27"/>
      <c r="O855" s="27"/>
      <c r="P855" s="27"/>
      <c r="Q855" s="27"/>
      <c r="R855" s="27"/>
    </row>
    <row r="856" spans="2:18" s="25" customFormat="1" x14ac:dyDescent="0.25">
      <c r="B856" s="350"/>
      <c r="D856" s="355"/>
      <c r="I856" s="58"/>
      <c r="M856" s="27"/>
      <c r="N856" s="27"/>
      <c r="O856" s="27"/>
      <c r="P856" s="27"/>
      <c r="Q856" s="27"/>
      <c r="R856" s="27"/>
    </row>
    <row r="857" spans="2:18" s="25" customFormat="1" x14ac:dyDescent="0.25">
      <c r="B857" s="350"/>
      <c r="D857" s="355"/>
      <c r="I857" s="58"/>
      <c r="M857" s="27"/>
      <c r="N857" s="27"/>
      <c r="O857" s="27"/>
      <c r="P857" s="27"/>
      <c r="Q857" s="27"/>
      <c r="R857" s="27"/>
    </row>
    <row r="858" spans="2:18" s="25" customFormat="1" x14ac:dyDescent="0.25">
      <c r="B858" s="350"/>
      <c r="D858" s="355"/>
      <c r="I858" s="58"/>
      <c r="M858" s="27"/>
      <c r="N858" s="27"/>
      <c r="O858" s="27"/>
      <c r="P858" s="27"/>
      <c r="Q858" s="27"/>
      <c r="R858" s="27"/>
    </row>
    <row r="859" spans="2:18" s="25" customFormat="1" x14ac:dyDescent="0.25">
      <c r="B859" s="350"/>
      <c r="D859" s="355"/>
      <c r="I859" s="58"/>
      <c r="M859" s="27"/>
      <c r="N859" s="27"/>
      <c r="O859" s="27"/>
      <c r="P859" s="27"/>
      <c r="Q859" s="27"/>
      <c r="R859" s="27"/>
    </row>
    <row r="860" spans="2:18" s="25" customFormat="1" x14ac:dyDescent="0.25">
      <c r="B860" s="350"/>
      <c r="D860" s="355"/>
      <c r="I860" s="58"/>
      <c r="M860" s="27"/>
      <c r="N860" s="27"/>
      <c r="O860" s="27"/>
      <c r="P860" s="27"/>
      <c r="Q860" s="27"/>
      <c r="R860" s="27"/>
    </row>
    <row r="861" spans="2:18" s="25" customFormat="1" x14ac:dyDescent="0.25">
      <c r="B861" s="350"/>
      <c r="D861" s="355"/>
      <c r="I861" s="58"/>
      <c r="M861" s="27"/>
      <c r="N861" s="27"/>
      <c r="O861" s="27"/>
      <c r="P861" s="27"/>
      <c r="Q861" s="27"/>
      <c r="R861" s="27"/>
    </row>
    <row r="862" spans="2:18" s="25" customFormat="1" x14ac:dyDescent="0.25">
      <c r="B862" s="350"/>
      <c r="D862" s="355"/>
      <c r="I862" s="58"/>
      <c r="M862" s="27"/>
      <c r="N862" s="27"/>
      <c r="O862" s="27"/>
      <c r="P862" s="27"/>
      <c r="Q862" s="27"/>
      <c r="R862" s="27"/>
    </row>
    <row r="863" spans="2:18" s="25" customFormat="1" x14ac:dyDescent="0.25">
      <c r="B863" s="350"/>
      <c r="D863" s="355"/>
      <c r="I863" s="58"/>
      <c r="M863" s="27"/>
      <c r="N863" s="27"/>
      <c r="O863" s="27"/>
      <c r="P863" s="27"/>
      <c r="Q863" s="27"/>
      <c r="R863" s="27"/>
    </row>
    <row r="864" spans="2:18" s="25" customFormat="1" x14ac:dyDescent="0.25">
      <c r="B864" s="350"/>
      <c r="D864" s="355"/>
      <c r="I864" s="58"/>
      <c r="M864" s="27"/>
      <c r="N864" s="27"/>
      <c r="O864" s="27"/>
      <c r="P864" s="27"/>
      <c r="Q864" s="27"/>
      <c r="R864" s="27"/>
    </row>
    <row r="865" spans="2:18" s="25" customFormat="1" x14ac:dyDescent="0.25">
      <c r="B865" s="350"/>
      <c r="D865" s="355"/>
      <c r="I865" s="58"/>
      <c r="M865" s="27"/>
      <c r="N865" s="27"/>
      <c r="O865" s="27"/>
      <c r="P865" s="27"/>
      <c r="Q865" s="27"/>
      <c r="R865" s="27"/>
    </row>
    <row r="866" spans="2:18" s="25" customFormat="1" x14ac:dyDescent="0.25">
      <c r="B866" s="350"/>
      <c r="D866" s="355"/>
      <c r="I866" s="58"/>
      <c r="M866" s="27"/>
      <c r="N866" s="27"/>
      <c r="O866" s="27"/>
      <c r="P866" s="27"/>
      <c r="Q866" s="27"/>
      <c r="R866" s="27"/>
    </row>
    <row r="867" spans="2:18" s="25" customFormat="1" x14ac:dyDescent="0.25">
      <c r="B867" s="350"/>
      <c r="D867" s="355"/>
      <c r="I867" s="58"/>
      <c r="M867" s="27"/>
      <c r="N867" s="27"/>
      <c r="O867" s="27"/>
      <c r="P867" s="27"/>
      <c r="Q867" s="27"/>
      <c r="R867" s="27"/>
    </row>
    <row r="868" spans="2:18" s="25" customFormat="1" x14ac:dyDescent="0.25">
      <c r="B868" s="350"/>
      <c r="D868" s="355"/>
      <c r="I868" s="58"/>
      <c r="M868" s="27"/>
      <c r="N868" s="27"/>
      <c r="O868" s="27"/>
      <c r="P868" s="27"/>
      <c r="Q868" s="27"/>
      <c r="R868" s="27"/>
    </row>
    <row r="869" spans="2:18" s="25" customFormat="1" x14ac:dyDescent="0.25">
      <c r="B869" s="350"/>
      <c r="D869" s="355"/>
      <c r="I869" s="58"/>
      <c r="M869" s="27"/>
      <c r="N869" s="27"/>
      <c r="O869" s="27"/>
      <c r="P869" s="27"/>
      <c r="Q869" s="27"/>
      <c r="R869" s="27"/>
    </row>
    <row r="870" spans="2:18" s="25" customFormat="1" x14ac:dyDescent="0.25">
      <c r="B870" s="350"/>
      <c r="D870" s="355"/>
      <c r="I870" s="58"/>
      <c r="M870" s="27"/>
      <c r="N870" s="27"/>
      <c r="O870" s="27"/>
      <c r="P870" s="27"/>
      <c r="Q870" s="27"/>
      <c r="R870" s="27"/>
    </row>
    <row r="871" spans="2:18" s="25" customFormat="1" x14ac:dyDescent="0.25">
      <c r="B871" s="350"/>
      <c r="D871" s="355"/>
      <c r="I871" s="58"/>
      <c r="M871" s="27"/>
      <c r="N871" s="27"/>
      <c r="O871" s="27"/>
      <c r="P871" s="27"/>
      <c r="Q871" s="27"/>
      <c r="R871" s="27"/>
    </row>
    <row r="872" spans="2:18" s="25" customFormat="1" x14ac:dyDescent="0.25">
      <c r="B872" s="350"/>
      <c r="D872" s="355"/>
      <c r="I872" s="58"/>
      <c r="M872" s="27"/>
      <c r="N872" s="27"/>
      <c r="O872" s="27"/>
      <c r="P872" s="27"/>
      <c r="Q872" s="27"/>
      <c r="R872" s="27"/>
    </row>
    <row r="873" spans="2:18" s="25" customFormat="1" x14ac:dyDescent="0.25">
      <c r="B873" s="350"/>
      <c r="D873" s="355"/>
      <c r="I873" s="58"/>
      <c r="M873" s="27"/>
      <c r="N873" s="27"/>
      <c r="O873" s="27"/>
      <c r="P873" s="27"/>
      <c r="Q873" s="27"/>
      <c r="R873" s="27"/>
    </row>
    <row r="874" spans="2:18" s="25" customFormat="1" x14ac:dyDescent="0.25">
      <c r="B874" s="350"/>
      <c r="D874" s="355"/>
      <c r="I874" s="58"/>
      <c r="M874" s="27"/>
      <c r="N874" s="27"/>
      <c r="O874" s="27"/>
      <c r="P874" s="27"/>
      <c r="Q874" s="27"/>
      <c r="R874" s="27"/>
    </row>
    <row r="875" spans="2:18" s="25" customFormat="1" x14ac:dyDescent="0.25">
      <c r="B875" s="350"/>
      <c r="D875" s="355"/>
      <c r="I875" s="58"/>
      <c r="M875" s="27"/>
      <c r="N875" s="27"/>
      <c r="O875" s="27"/>
      <c r="P875" s="27"/>
      <c r="Q875" s="27"/>
      <c r="R875" s="27"/>
    </row>
    <row r="876" spans="2:18" s="25" customFormat="1" x14ac:dyDescent="0.25">
      <c r="B876" s="350"/>
      <c r="D876" s="355"/>
      <c r="I876" s="58"/>
      <c r="M876" s="27"/>
      <c r="N876" s="27"/>
      <c r="O876" s="27"/>
      <c r="P876" s="27"/>
      <c r="Q876" s="27"/>
      <c r="R876" s="27"/>
    </row>
    <row r="877" spans="2:18" s="25" customFormat="1" x14ac:dyDescent="0.25">
      <c r="B877" s="350"/>
      <c r="D877" s="355"/>
      <c r="I877" s="58"/>
      <c r="M877" s="27"/>
      <c r="N877" s="27"/>
      <c r="O877" s="27"/>
      <c r="P877" s="27"/>
      <c r="Q877" s="27"/>
      <c r="R877" s="27"/>
    </row>
    <row r="878" spans="2:18" s="25" customFormat="1" x14ac:dyDescent="0.25">
      <c r="B878" s="350"/>
      <c r="D878" s="355"/>
      <c r="I878" s="58"/>
      <c r="M878" s="27"/>
      <c r="N878" s="27"/>
      <c r="O878" s="27"/>
      <c r="P878" s="27"/>
      <c r="Q878" s="27"/>
      <c r="R878" s="27"/>
    </row>
    <row r="879" spans="2:18" s="25" customFormat="1" x14ac:dyDescent="0.25">
      <c r="B879" s="350"/>
      <c r="D879" s="355"/>
      <c r="I879" s="58"/>
      <c r="M879" s="27"/>
      <c r="N879" s="27"/>
      <c r="O879" s="27"/>
      <c r="P879" s="27"/>
      <c r="Q879" s="27"/>
      <c r="R879" s="27"/>
    </row>
    <row r="880" spans="2:18" s="25" customFormat="1" x14ac:dyDescent="0.25">
      <c r="B880" s="350"/>
      <c r="D880" s="355"/>
      <c r="I880" s="58"/>
      <c r="M880" s="27"/>
      <c r="N880" s="27"/>
      <c r="O880" s="27"/>
      <c r="P880" s="27"/>
      <c r="Q880" s="27"/>
      <c r="R880" s="27"/>
    </row>
    <row r="881" spans="2:18" s="25" customFormat="1" x14ac:dyDescent="0.25">
      <c r="B881" s="350"/>
      <c r="D881" s="355"/>
      <c r="I881" s="58"/>
      <c r="M881" s="27"/>
      <c r="N881" s="27"/>
      <c r="O881" s="27"/>
      <c r="P881" s="27"/>
      <c r="Q881" s="27"/>
      <c r="R881" s="27"/>
    </row>
    <row r="882" spans="2:18" s="25" customFormat="1" x14ac:dyDescent="0.25">
      <c r="B882" s="350"/>
      <c r="D882" s="355"/>
      <c r="I882" s="58"/>
      <c r="M882" s="27"/>
      <c r="N882" s="27"/>
      <c r="O882" s="27"/>
      <c r="P882" s="27"/>
      <c r="Q882" s="27"/>
      <c r="R882" s="27"/>
    </row>
    <row r="883" spans="2:18" s="25" customFormat="1" x14ac:dyDescent="0.25">
      <c r="B883" s="350"/>
      <c r="D883" s="355"/>
      <c r="I883" s="58"/>
      <c r="M883" s="27"/>
      <c r="N883" s="27"/>
      <c r="O883" s="27"/>
      <c r="P883" s="27"/>
      <c r="Q883" s="27"/>
      <c r="R883" s="27"/>
    </row>
    <row r="884" spans="2:18" s="25" customFormat="1" x14ac:dyDescent="0.25">
      <c r="B884" s="350"/>
      <c r="D884" s="355"/>
      <c r="I884" s="58"/>
      <c r="M884" s="27"/>
      <c r="N884" s="27"/>
      <c r="O884" s="27"/>
      <c r="P884" s="27"/>
      <c r="Q884" s="27"/>
      <c r="R884" s="27"/>
    </row>
    <row r="885" spans="2:18" s="25" customFormat="1" x14ac:dyDescent="0.25">
      <c r="B885" s="350"/>
      <c r="D885" s="355"/>
      <c r="I885" s="58"/>
      <c r="M885" s="27"/>
      <c r="N885" s="27"/>
      <c r="O885" s="27"/>
      <c r="P885" s="27"/>
      <c r="Q885" s="27"/>
      <c r="R885" s="27"/>
    </row>
    <row r="886" spans="2:18" s="25" customFormat="1" x14ac:dyDescent="0.25">
      <c r="B886" s="350"/>
      <c r="D886" s="355"/>
      <c r="I886" s="58"/>
      <c r="M886" s="27"/>
      <c r="N886" s="27"/>
      <c r="O886" s="27"/>
      <c r="P886" s="27"/>
      <c r="Q886" s="27"/>
      <c r="R886" s="27"/>
    </row>
    <row r="887" spans="2:18" s="25" customFormat="1" x14ac:dyDescent="0.25">
      <c r="B887" s="350"/>
      <c r="D887" s="355"/>
      <c r="I887" s="58"/>
      <c r="M887" s="27"/>
      <c r="N887" s="27"/>
      <c r="O887" s="27"/>
      <c r="P887" s="27"/>
      <c r="Q887" s="27"/>
      <c r="R887" s="27"/>
    </row>
    <row r="888" spans="2:18" s="25" customFormat="1" x14ac:dyDescent="0.25">
      <c r="B888" s="350"/>
      <c r="D888" s="355"/>
      <c r="I888" s="58"/>
      <c r="M888" s="27"/>
      <c r="N888" s="27"/>
      <c r="O888" s="27"/>
      <c r="P888" s="27"/>
      <c r="Q888" s="27"/>
      <c r="R888" s="27"/>
    </row>
    <row r="889" spans="2:18" s="25" customFormat="1" x14ac:dyDescent="0.25">
      <c r="B889" s="350"/>
      <c r="D889" s="355"/>
      <c r="I889" s="58"/>
      <c r="M889" s="27"/>
      <c r="N889" s="27"/>
      <c r="O889" s="27"/>
      <c r="P889" s="27"/>
      <c r="Q889" s="27"/>
      <c r="R889" s="27"/>
    </row>
    <row r="890" spans="2:18" s="25" customFormat="1" x14ac:dyDescent="0.25">
      <c r="B890" s="350"/>
      <c r="D890" s="355"/>
      <c r="I890" s="58"/>
      <c r="M890" s="27"/>
      <c r="N890" s="27"/>
      <c r="O890" s="27"/>
      <c r="P890" s="27"/>
      <c r="Q890" s="27"/>
      <c r="R890" s="27"/>
    </row>
    <row r="891" spans="2:18" s="25" customFormat="1" x14ac:dyDescent="0.25">
      <c r="B891" s="350"/>
      <c r="D891" s="355"/>
      <c r="I891" s="58"/>
      <c r="M891" s="27"/>
      <c r="N891" s="27"/>
      <c r="O891" s="27"/>
      <c r="P891" s="27"/>
      <c r="Q891" s="27"/>
      <c r="R891" s="27"/>
    </row>
    <row r="892" spans="2:18" s="25" customFormat="1" x14ac:dyDescent="0.25">
      <c r="B892" s="350"/>
      <c r="D892" s="355"/>
      <c r="I892" s="58"/>
      <c r="M892" s="27"/>
      <c r="N892" s="27"/>
      <c r="O892" s="27"/>
      <c r="P892" s="27"/>
      <c r="Q892" s="27"/>
      <c r="R892" s="27"/>
    </row>
    <row r="893" spans="2:18" s="25" customFormat="1" x14ac:dyDescent="0.25">
      <c r="B893" s="350"/>
      <c r="D893" s="355"/>
      <c r="I893" s="58"/>
      <c r="M893" s="27"/>
      <c r="N893" s="27"/>
      <c r="O893" s="27"/>
      <c r="P893" s="27"/>
      <c r="Q893" s="27"/>
      <c r="R893" s="27"/>
    </row>
    <row r="894" spans="2:18" s="25" customFormat="1" x14ac:dyDescent="0.25">
      <c r="B894" s="350"/>
      <c r="D894" s="355"/>
      <c r="I894" s="58"/>
      <c r="M894" s="27"/>
      <c r="N894" s="27"/>
      <c r="O894" s="27"/>
      <c r="P894" s="27"/>
      <c r="Q894" s="27"/>
      <c r="R894" s="27"/>
    </row>
    <row r="895" spans="2:18" s="25" customFormat="1" x14ac:dyDescent="0.25">
      <c r="B895" s="350"/>
      <c r="D895" s="355"/>
      <c r="I895" s="58"/>
      <c r="M895" s="27"/>
      <c r="N895" s="27"/>
      <c r="O895" s="27"/>
      <c r="P895" s="27"/>
      <c r="Q895" s="27"/>
      <c r="R895" s="27"/>
    </row>
    <row r="896" spans="2:18" s="25" customFormat="1" x14ac:dyDescent="0.25">
      <c r="B896" s="350"/>
      <c r="D896" s="355"/>
      <c r="I896" s="58"/>
      <c r="M896" s="27"/>
      <c r="N896" s="27"/>
      <c r="O896" s="27"/>
      <c r="P896" s="27"/>
      <c r="Q896" s="27"/>
      <c r="R896" s="27"/>
    </row>
    <row r="897" spans="2:18" s="25" customFormat="1" x14ac:dyDescent="0.25">
      <c r="B897" s="350"/>
      <c r="D897" s="355"/>
      <c r="I897" s="58"/>
      <c r="M897" s="27"/>
      <c r="N897" s="27"/>
      <c r="O897" s="27"/>
      <c r="P897" s="27"/>
      <c r="Q897" s="27"/>
      <c r="R897" s="27"/>
    </row>
    <row r="898" spans="2:18" s="25" customFormat="1" x14ac:dyDescent="0.25">
      <c r="B898" s="350"/>
      <c r="D898" s="355"/>
      <c r="I898" s="58"/>
      <c r="M898" s="27"/>
      <c r="N898" s="27"/>
      <c r="O898" s="27"/>
      <c r="P898" s="27"/>
      <c r="Q898" s="27"/>
      <c r="R898" s="27"/>
    </row>
    <row r="899" spans="2:18" s="25" customFormat="1" x14ac:dyDescent="0.25">
      <c r="B899" s="350"/>
      <c r="D899" s="355"/>
      <c r="I899" s="58"/>
      <c r="M899" s="27"/>
      <c r="N899" s="27"/>
      <c r="O899" s="27"/>
      <c r="P899" s="27"/>
      <c r="Q899" s="27"/>
      <c r="R899" s="27"/>
    </row>
    <row r="900" spans="2:18" s="25" customFormat="1" x14ac:dyDescent="0.25">
      <c r="B900" s="350"/>
      <c r="D900" s="355"/>
      <c r="I900" s="58"/>
      <c r="M900" s="27"/>
      <c r="N900" s="27"/>
      <c r="O900" s="27"/>
      <c r="P900" s="27"/>
      <c r="Q900" s="27"/>
      <c r="R900" s="27"/>
    </row>
    <row r="901" spans="2:18" s="25" customFormat="1" x14ac:dyDescent="0.25">
      <c r="B901" s="350"/>
      <c r="D901" s="355"/>
      <c r="I901" s="58"/>
      <c r="M901" s="27"/>
      <c r="N901" s="27"/>
      <c r="O901" s="27"/>
      <c r="P901" s="27"/>
      <c r="Q901" s="27"/>
      <c r="R901" s="27"/>
    </row>
    <row r="902" spans="2:18" s="25" customFormat="1" x14ac:dyDescent="0.25">
      <c r="B902" s="350"/>
      <c r="D902" s="355"/>
      <c r="I902" s="58"/>
      <c r="M902" s="27"/>
      <c r="N902" s="27"/>
      <c r="O902" s="27"/>
      <c r="P902" s="27"/>
      <c r="Q902" s="27"/>
      <c r="R902" s="27"/>
    </row>
    <row r="903" spans="2:18" s="25" customFormat="1" x14ac:dyDescent="0.25">
      <c r="B903" s="350"/>
      <c r="D903" s="355"/>
      <c r="I903" s="58"/>
      <c r="M903" s="27"/>
      <c r="N903" s="27"/>
      <c r="O903" s="27"/>
      <c r="P903" s="27"/>
      <c r="Q903" s="27"/>
      <c r="R903" s="27"/>
    </row>
    <row r="904" spans="2:18" s="25" customFormat="1" x14ac:dyDescent="0.25">
      <c r="B904" s="350"/>
      <c r="D904" s="355"/>
      <c r="I904" s="58"/>
      <c r="M904" s="27"/>
      <c r="N904" s="27"/>
      <c r="O904" s="27"/>
      <c r="P904" s="27"/>
      <c r="Q904" s="27"/>
      <c r="R904" s="27"/>
    </row>
    <row r="905" spans="2:18" s="25" customFormat="1" x14ac:dyDescent="0.25">
      <c r="B905" s="350"/>
      <c r="D905" s="355"/>
      <c r="I905" s="58"/>
      <c r="M905" s="27"/>
      <c r="N905" s="27"/>
      <c r="O905" s="27"/>
      <c r="P905" s="27"/>
      <c r="Q905" s="27"/>
      <c r="R905" s="27"/>
    </row>
    <row r="906" spans="2:18" s="25" customFormat="1" x14ac:dyDescent="0.25">
      <c r="B906" s="350"/>
      <c r="D906" s="355"/>
      <c r="I906" s="58"/>
      <c r="M906" s="27"/>
      <c r="N906" s="27"/>
      <c r="O906" s="27"/>
      <c r="P906" s="27"/>
      <c r="Q906" s="27"/>
      <c r="R906" s="27"/>
    </row>
    <row r="907" spans="2:18" s="25" customFormat="1" x14ac:dyDescent="0.25">
      <c r="B907" s="350"/>
      <c r="D907" s="355"/>
      <c r="I907" s="58"/>
      <c r="M907" s="27"/>
      <c r="N907" s="27"/>
      <c r="O907" s="27"/>
      <c r="P907" s="27"/>
      <c r="Q907" s="27"/>
      <c r="R907" s="27"/>
    </row>
    <row r="908" spans="2:18" s="25" customFormat="1" x14ac:dyDescent="0.25">
      <c r="B908" s="350"/>
      <c r="D908" s="355"/>
      <c r="I908" s="58"/>
      <c r="M908" s="27"/>
      <c r="N908" s="27"/>
      <c r="O908" s="27"/>
      <c r="P908" s="27"/>
      <c r="Q908" s="27"/>
      <c r="R908" s="27"/>
    </row>
    <row r="909" spans="2:18" s="25" customFormat="1" x14ac:dyDescent="0.25">
      <c r="B909" s="350"/>
      <c r="D909" s="355"/>
      <c r="I909" s="58"/>
      <c r="M909" s="27"/>
      <c r="N909" s="27"/>
      <c r="O909" s="27"/>
      <c r="P909" s="27"/>
      <c r="Q909" s="27"/>
      <c r="R909" s="27"/>
    </row>
    <row r="910" spans="2:18" s="25" customFormat="1" x14ac:dyDescent="0.25">
      <c r="B910" s="350"/>
      <c r="D910" s="355"/>
      <c r="I910" s="58"/>
      <c r="M910" s="27"/>
      <c r="N910" s="27"/>
      <c r="O910" s="27"/>
      <c r="P910" s="27"/>
      <c r="Q910" s="27"/>
      <c r="R910" s="27"/>
    </row>
    <row r="911" spans="2:18" s="25" customFormat="1" x14ac:dyDescent="0.25">
      <c r="B911" s="350"/>
      <c r="D911" s="355"/>
      <c r="I911" s="58"/>
      <c r="M911" s="27"/>
      <c r="N911" s="27"/>
      <c r="O911" s="27"/>
      <c r="P911" s="27"/>
      <c r="Q911" s="27"/>
      <c r="R911" s="27"/>
    </row>
    <row r="912" spans="2:18" s="25" customFormat="1" x14ac:dyDescent="0.25">
      <c r="B912" s="350"/>
      <c r="D912" s="355"/>
      <c r="I912" s="58"/>
      <c r="M912" s="27"/>
      <c r="N912" s="27"/>
      <c r="O912" s="27"/>
      <c r="P912" s="27"/>
      <c r="Q912" s="27"/>
      <c r="R912" s="27"/>
    </row>
    <row r="913" spans="2:18" s="25" customFormat="1" x14ac:dyDescent="0.25">
      <c r="B913" s="350"/>
      <c r="D913" s="355"/>
      <c r="I913" s="58"/>
      <c r="M913" s="27"/>
      <c r="N913" s="27"/>
      <c r="O913" s="27"/>
      <c r="P913" s="27"/>
      <c r="Q913" s="27"/>
      <c r="R913" s="27"/>
    </row>
    <row r="914" spans="2:18" s="25" customFormat="1" x14ac:dyDescent="0.25">
      <c r="B914" s="350"/>
      <c r="D914" s="355"/>
      <c r="I914" s="58"/>
      <c r="M914" s="27"/>
      <c r="N914" s="27"/>
      <c r="O914" s="27"/>
      <c r="P914" s="27"/>
      <c r="Q914" s="27"/>
      <c r="R914" s="27"/>
    </row>
    <row r="915" spans="2:18" s="25" customFormat="1" x14ac:dyDescent="0.25">
      <c r="B915" s="350"/>
      <c r="D915" s="355"/>
      <c r="I915" s="58"/>
      <c r="M915" s="27"/>
      <c r="N915" s="27"/>
      <c r="O915" s="27"/>
      <c r="P915" s="27"/>
      <c r="Q915" s="27"/>
      <c r="R915" s="27"/>
    </row>
    <row r="916" spans="2:18" s="25" customFormat="1" x14ac:dyDescent="0.25">
      <c r="B916" s="350"/>
      <c r="D916" s="355"/>
      <c r="I916" s="58"/>
      <c r="M916" s="27"/>
      <c r="N916" s="27"/>
      <c r="O916" s="27"/>
      <c r="P916" s="27"/>
      <c r="Q916" s="27"/>
      <c r="R916" s="27"/>
    </row>
    <row r="917" spans="2:18" s="25" customFormat="1" x14ac:dyDescent="0.25">
      <c r="B917" s="350"/>
      <c r="D917" s="355"/>
      <c r="I917" s="58"/>
      <c r="M917" s="27"/>
      <c r="N917" s="27"/>
      <c r="O917" s="27"/>
      <c r="P917" s="27"/>
      <c r="Q917" s="27"/>
      <c r="R917" s="27"/>
    </row>
    <row r="918" spans="2:18" s="25" customFormat="1" x14ac:dyDescent="0.25">
      <c r="B918" s="350"/>
      <c r="D918" s="355"/>
      <c r="I918" s="58"/>
      <c r="M918" s="27"/>
      <c r="N918" s="27"/>
      <c r="O918" s="27"/>
      <c r="P918" s="27"/>
      <c r="Q918" s="27"/>
      <c r="R918" s="27"/>
    </row>
    <row r="919" spans="2:18" s="25" customFormat="1" x14ac:dyDescent="0.25">
      <c r="B919" s="350"/>
      <c r="D919" s="355"/>
      <c r="I919" s="58"/>
      <c r="M919" s="27"/>
      <c r="N919" s="27"/>
      <c r="O919" s="27"/>
      <c r="P919" s="27"/>
      <c r="Q919" s="27"/>
      <c r="R919" s="27"/>
    </row>
    <row r="920" spans="2:18" s="25" customFormat="1" x14ac:dyDescent="0.25">
      <c r="B920" s="350"/>
      <c r="D920" s="355"/>
      <c r="I920" s="58"/>
      <c r="M920" s="27"/>
      <c r="N920" s="27"/>
      <c r="O920" s="27"/>
      <c r="P920" s="27"/>
      <c r="Q920" s="27"/>
      <c r="R920" s="27"/>
    </row>
    <row r="921" spans="2:18" s="25" customFormat="1" x14ac:dyDescent="0.25">
      <c r="B921" s="350"/>
      <c r="D921" s="355"/>
      <c r="I921" s="58"/>
      <c r="M921" s="27"/>
      <c r="N921" s="27"/>
      <c r="O921" s="27"/>
      <c r="P921" s="27"/>
      <c r="Q921" s="27"/>
      <c r="R921" s="27"/>
    </row>
    <row r="922" spans="2:18" s="25" customFormat="1" x14ac:dyDescent="0.25">
      <c r="B922" s="350"/>
      <c r="D922" s="355"/>
      <c r="I922" s="58"/>
      <c r="M922" s="27"/>
      <c r="N922" s="27"/>
      <c r="O922" s="27"/>
      <c r="P922" s="27"/>
      <c r="Q922" s="27"/>
      <c r="R922" s="27"/>
    </row>
    <row r="923" spans="2:18" s="25" customFormat="1" x14ac:dyDescent="0.25">
      <c r="B923" s="350"/>
      <c r="D923" s="355"/>
      <c r="I923" s="58"/>
      <c r="M923" s="27"/>
      <c r="N923" s="27"/>
      <c r="O923" s="27"/>
      <c r="P923" s="27"/>
      <c r="Q923" s="27"/>
      <c r="R923" s="27"/>
    </row>
    <row r="924" spans="2:18" s="25" customFormat="1" x14ac:dyDescent="0.25">
      <c r="B924" s="350"/>
      <c r="D924" s="355"/>
      <c r="I924" s="58"/>
      <c r="M924" s="27"/>
      <c r="N924" s="27"/>
      <c r="O924" s="27"/>
      <c r="P924" s="27"/>
      <c r="Q924" s="27"/>
      <c r="R924" s="27"/>
    </row>
    <row r="925" spans="2:18" s="25" customFormat="1" x14ac:dyDescent="0.25">
      <c r="B925" s="350"/>
      <c r="D925" s="355"/>
      <c r="I925" s="58"/>
      <c r="M925" s="27"/>
      <c r="N925" s="27"/>
      <c r="O925" s="27"/>
      <c r="P925" s="27"/>
      <c r="Q925" s="27"/>
      <c r="R925" s="27"/>
    </row>
    <row r="926" spans="2:18" s="25" customFormat="1" x14ac:dyDescent="0.25">
      <c r="B926" s="350"/>
      <c r="D926" s="355"/>
      <c r="I926" s="58"/>
      <c r="M926" s="27"/>
      <c r="N926" s="27"/>
      <c r="O926" s="27"/>
      <c r="P926" s="27"/>
      <c r="Q926" s="27"/>
      <c r="R926" s="27"/>
    </row>
    <row r="927" spans="2:18" s="25" customFormat="1" x14ac:dyDescent="0.25">
      <c r="B927" s="350"/>
      <c r="D927" s="355"/>
      <c r="I927" s="58"/>
      <c r="M927" s="27"/>
      <c r="N927" s="27"/>
      <c r="O927" s="27"/>
      <c r="P927" s="27"/>
      <c r="Q927" s="27"/>
      <c r="R927" s="27"/>
    </row>
    <row r="928" spans="2:18" s="25" customFormat="1" x14ac:dyDescent="0.25">
      <c r="B928" s="350"/>
      <c r="D928" s="355"/>
      <c r="I928" s="58"/>
      <c r="M928" s="27"/>
      <c r="N928" s="27"/>
      <c r="O928" s="27"/>
      <c r="P928" s="27"/>
      <c r="Q928" s="27"/>
      <c r="R928" s="27"/>
    </row>
    <row r="929" spans="2:18" s="25" customFormat="1" x14ac:dyDescent="0.25">
      <c r="B929" s="350"/>
      <c r="D929" s="355"/>
      <c r="I929" s="58"/>
      <c r="M929" s="27"/>
      <c r="N929" s="27"/>
      <c r="O929" s="27"/>
      <c r="P929" s="27"/>
      <c r="Q929" s="27"/>
      <c r="R929" s="27"/>
    </row>
    <row r="930" spans="2:18" s="25" customFormat="1" x14ac:dyDescent="0.25">
      <c r="B930" s="350"/>
      <c r="D930" s="355"/>
      <c r="I930" s="58"/>
      <c r="M930" s="27"/>
      <c r="N930" s="27"/>
      <c r="O930" s="27"/>
      <c r="P930" s="27"/>
      <c r="Q930" s="27"/>
      <c r="R930" s="27"/>
    </row>
    <row r="931" spans="2:18" s="25" customFormat="1" x14ac:dyDescent="0.25">
      <c r="B931" s="350"/>
      <c r="D931" s="355"/>
      <c r="I931" s="58"/>
      <c r="M931" s="27"/>
      <c r="N931" s="27"/>
      <c r="O931" s="27"/>
      <c r="P931" s="27"/>
      <c r="Q931" s="27"/>
      <c r="R931" s="27"/>
    </row>
    <row r="932" spans="2:18" s="25" customFormat="1" x14ac:dyDescent="0.25">
      <c r="B932" s="350"/>
      <c r="D932" s="355"/>
      <c r="I932" s="58"/>
      <c r="M932" s="27"/>
      <c r="N932" s="27"/>
      <c r="O932" s="27"/>
      <c r="P932" s="27"/>
      <c r="Q932" s="27"/>
      <c r="R932" s="27"/>
    </row>
    <row r="933" spans="2:18" s="25" customFormat="1" x14ac:dyDescent="0.25">
      <c r="B933" s="350"/>
      <c r="D933" s="355"/>
      <c r="I933" s="58"/>
      <c r="M933" s="27"/>
      <c r="N933" s="27"/>
      <c r="O933" s="27"/>
      <c r="P933" s="27"/>
      <c r="Q933" s="27"/>
      <c r="R933" s="27"/>
    </row>
    <row r="934" spans="2:18" s="25" customFormat="1" x14ac:dyDescent="0.25">
      <c r="B934" s="350"/>
      <c r="D934" s="355"/>
      <c r="I934" s="58"/>
      <c r="M934" s="27"/>
      <c r="N934" s="27"/>
      <c r="O934" s="27"/>
      <c r="P934" s="27"/>
      <c r="Q934" s="27"/>
      <c r="R934" s="27"/>
    </row>
    <row r="935" spans="2:18" s="25" customFormat="1" x14ac:dyDescent="0.25">
      <c r="B935" s="350"/>
      <c r="D935" s="355"/>
      <c r="I935" s="58"/>
      <c r="M935" s="27"/>
      <c r="N935" s="27"/>
      <c r="O935" s="27"/>
      <c r="P935" s="27"/>
      <c r="Q935" s="27"/>
      <c r="R935" s="27"/>
    </row>
    <row r="936" spans="2:18" s="25" customFormat="1" x14ac:dyDescent="0.25">
      <c r="B936" s="350"/>
      <c r="D936" s="355"/>
      <c r="I936" s="58"/>
      <c r="M936" s="27"/>
      <c r="N936" s="27"/>
      <c r="O936" s="27"/>
      <c r="P936" s="27"/>
      <c r="Q936" s="27"/>
      <c r="R936" s="27"/>
    </row>
    <row r="937" spans="2:18" s="25" customFormat="1" x14ac:dyDescent="0.25">
      <c r="B937" s="350"/>
      <c r="D937" s="355"/>
      <c r="I937" s="58"/>
      <c r="M937" s="27"/>
      <c r="N937" s="27"/>
      <c r="O937" s="27"/>
      <c r="P937" s="27"/>
      <c r="Q937" s="27"/>
      <c r="R937" s="27"/>
    </row>
    <row r="938" spans="2:18" s="25" customFormat="1" x14ac:dyDescent="0.25">
      <c r="B938" s="350"/>
      <c r="D938" s="355"/>
      <c r="I938" s="58"/>
      <c r="M938" s="27"/>
      <c r="N938" s="27"/>
      <c r="O938" s="27"/>
      <c r="P938" s="27"/>
      <c r="Q938" s="27"/>
      <c r="R938" s="27"/>
    </row>
    <row r="939" spans="2:18" s="25" customFormat="1" x14ac:dyDescent="0.25">
      <c r="B939" s="350"/>
      <c r="D939" s="355"/>
      <c r="I939" s="58"/>
      <c r="M939" s="27"/>
      <c r="N939" s="27"/>
      <c r="O939" s="27"/>
      <c r="P939" s="27"/>
      <c r="Q939" s="27"/>
      <c r="R939" s="27"/>
    </row>
    <row r="940" spans="2:18" s="25" customFormat="1" x14ac:dyDescent="0.25">
      <c r="B940" s="350"/>
      <c r="D940" s="355"/>
      <c r="I940" s="58"/>
      <c r="M940" s="27"/>
      <c r="N940" s="27"/>
      <c r="O940" s="27"/>
      <c r="P940" s="27"/>
      <c r="Q940" s="27"/>
      <c r="R940" s="27"/>
    </row>
    <row r="941" spans="2:18" s="25" customFormat="1" x14ac:dyDescent="0.25">
      <c r="B941" s="350"/>
      <c r="D941" s="355"/>
      <c r="I941" s="58"/>
      <c r="M941" s="27"/>
      <c r="N941" s="27"/>
      <c r="O941" s="27"/>
      <c r="P941" s="27"/>
      <c r="Q941" s="27"/>
      <c r="R941" s="27"/>
    </row>
    <row r="942" spans="2:18" s="25" customFormat="1" x14ac:dyDescent="0.25">
      <c r="B942" s="350"/>
      <c r="D942" s="355"/>
      <c r="I942" s="58"/>
      <c r="M942" s="27"/>
      <c r="N942" s="27"/>
      <c r="O942" s="27"/>
      <c r="P942" s="27"/>
      <c r="Q942" s="27"/>
      <c r="R942" s="27"/>
    </row>
    <row r="943" spans="2:18" s="25" customFormat="1" x14ac:dyDescent="0.25">
      <c r="B943" s="350"/>
      <c r="D943" s="355"/>
      <c r="I943" s="58"/>
      <c r="M943" s="27"/>
      <c r="N943" s="27"/>
      <c r="O943" s="27"/>
      <c r="P943" s="27"/>
      <c r="Q943" s="27"/>
      <c r="R943" s="27"/>
    </row>
    <row r="944" spans="2:18" s="25" customFormat="1" x14ac:dyDescent="0.25">
      <c r="B944" s="350"/>
      <c r="D944" s="355"/>
      <c r="I944" s="58"/>
      <c r="M944" s="27"/>
      <c r="N944" s="27"/>
      <c r="O944" s="27"/>
      <c r="P944" s="27"/>
      <c r="Q944" s="27"/>
      <c r="R944" s="27"/>
    </row>
    <row r="945" spans="2:18" s="25" customFormat="1" x14ac:dyDescent="0.25">
      <c r="B945" s="350"/>
      <c r="D945" s="355"/>
      <c r="I945" s="58"/>
      <c r="M945" s="27"/>
      <c r="N945" s="27"/>
      <c r="O945" s="27"/>
      <c r="P945" s="27"/>
      <c r="Q945" s="27"/>
      <c r="R945" s="27"/>
    </row>
    <row r="946" spans="2:18" s="25" customFormat="1" x14ac:dyDescent="0.25">
      <c r="B946" s="350"/>
      <c r="D946" s="355"/>
      <c r="I946" s="58"/>
      <c r="M946" s="27"/>
      <c r="N946" s="27"/>
      <c r="O946" s="27"/>
      <c r="P946" s="27"/>
      <c r="Q946" s="27"/>
      <c r="R946" s="27"/>
    </row>
    <row r="947" spans="2:18" s="25" customFormat="1" x14ac:dyDescent="0.25">
      <c r="B947" s="350"/>
      <c r="D947" s="355"/>
      <c r="I947" s="58"/>
      <c r="M947" s="27"/>
      <c r="N947" s="27"/>
      <c r="O947" s="27"/>
      <c r="P947" s="27"/>
      <c r="Q947" s="27"/>
      <c r="R947" s="27"/>
    </row>
    <row r="948" spans="2:18" s="25" customFormat="1" x14ac:dyDescent="0.25">
      <c r="B948" s="350"/>
      <c r="D948" s="355"/>
      <c r="I948" s="58"/>
      <c r="M948" s="27"/>
      <c r="N948" s="27"/>
      <c r="O948" s="27"/>
      <c r="P948" s="27"/>
      <c r="Q948" s="27"/>
      <c r="R948" s="27"/>
    </row>
    <row r="949" spans="2:18" s="25" customFormat="1" x14ac:dyDescent="0.25">
      <c r="B949" s="350"/>
      <c r="D949" s="355"/>
      <c r="I949" s="58"/>
      <c r="M949" s="27"/>
      <c r="N949" s="27"/>
      <c r="O949" s="27"/>
      <c r="P949" s="27"/>
      <c r="Q949" s="27"/>
      <c r="R949" s="27"/>
    </row>
    <row r="950" spans="2:18" s="25" customFormat="1" x14ac:dyDescent="0.25">
      <c r="B950" s="350"/>
      <c r="D950" s="355"/>
      <c r="I950" s="58"/>
      <c r="M950" s="27"/>
      <c r="N950" s="27"/>
      <c r="O950" s="27"/>
      <c r="P950" s="27"/>
      <c r="Q950" s="27"/>
      <c r="R950" s="27"/>
    </row>
    <row r="951" spans="2:18" s="25" customFormat="1" x14ac:dyDescent="0.25">
      <c r="B951" s="350"/>
      <c r="D951" s="355"/>
      <c r="I951" s="58"/>
      <c r="M951" s="27"/>
      <c r="N951" s="27"/>
      <c r="O951" s="27"/>
      <c r="P951" s="27"/>
      <c r="Q951" s="27"/>
      <c r="R951" s="27"/>
    </row>
    <row r="952" spans="2:18" s="25" customFormat="1" x14ac:dyDescent="0.25">
      <c r="B952" s="350"/>
      <c r="D952" s="355"/>
      <c r="I952" s="58"/>
      <c r="M952" s="27"/>
      <c r="N952" s="27"/>
      <c r="O952" s="27"/>
      <c r="P952" s="27"/>
      <c r="Q952" s="27"/>
      <c r="R952" s="27"/>
    </row>
    <row r="953" spans="2:18" s="25" customFormat="1" x14ac:dyDescent="0.25">
      <c r="B953" s="350"/>
      <c r="D953" s="355"/>
      <c r="I953" s="58"/>
      <c r="M953" s="27"/>
      <c r="N953" s="27"/>
      <c r="O953" s="27"/>
      <c r="P953" s="27"/>
      <c r="Q953" s="27"/>
      <c r="R953" s="27"/>
    </row>
    <row r="954" spans="2:18" s="25" customFormat="1" x14ac:dyDescent="0.25">
      <c r="B954" s="350"/>
      <c r="D954" s="355"/>
      <c r="I954" s="58"/>
      <c r="M954" s="27"/>
      <c r="N954" s="27"/>
      <c r="O954" s="27"/>
      <c r="P954" s="27"/>
      <c r="Q954" s="27"/>
      <c r="R954" s="27"/>
    </row>
    <row r="955" spans="2:18" s="25" customFormat="1" x14ac:dyDescent="0.25">
      <c r="B955" s="350"/>
      <c r="D955" s="355"/>
      <c r="I955" s="58"/>
      <c r="M955" s="27"/>
      <c r="N955" s="27"/>
      <c r="O955" s="27"/>
      <c r="P955" s="27"/>
      <c r="Q955" s="27"/>
      <c r="R955" s="27"/>
    </row>
    <row r="956" spans="2:18" s="25" customFormat="1" x14ac:dyDescent="0.25">
      <c r="B956" s="350"/>
      <c r="D956" s="355"/>
      <c r="I956" s="58"/>
      <c r="M956" s="27"/>
      <c r="N956" s="27"/>
      <c r="O956" s="27"/>
      <c r="P956" s="27"/>
      <c r="Q956" s="27"/>
      <c r="R956" s="27"/>
    </row>
    <row r="957" spans="2:18" s="25" customFormat="1" x14ac:dyDescent="0.25">
      <c r="B957" s="350"/>
      <c r="D957" s="355"/>
      <c r="I957" s="58"/>
      <c r="M957" s="27"/>
      <c r="N957" s="27"/>
      <c r="O957" s="27"/>
      <c r="P957" s="27"/>
      <c r="Q957" s="27"/>
      <c r="R957" s="27"/>
    </row>
    <row r="958" spans="2:18" s="25" customFormat="1" x14ac:dyDescent="0.25">
      <c r="B958" s="350"/>
      <c r="D958" s="355"/>
      <c r="I958" s="58"/>
      <c r="M958" s="27"/>
      <c r="N958" s="27"/>
      <c r="O958" s="27"/>
      <c r="P958" s="27"/>
      <c r="Q958" s="27"/>
      <c r="R958" s="27"/>
    </row>
    <row r="959" spans="2:18" s="25" customFormat="1" x14ac:dyDescent="0.25">
      <c r="B959" s="350"/>
      <c r="D959" s="355"/>
      <c r="I959" s="58"/>
      <c r="M959" s="27"/>
      <c r="N959" s="27"/>
      <c r="O959" s="27"/>
      <c r="P959" s="27"/>
      <c r="Q959" s="27"/>
      <c r="R959" s="27"/>
    </row>
    <row r="960" spans="2:18" s="25" customFormat="1" x14ac:dyDescent="0.25">
      <c r="B960" s="350"/>
      <c r="D960" s="355"/>
      <c r="I960" s="58"/>
      <c r="M960" s="27"/>
      <c r="N960" s="27"/>
      <c r="O960" s="27"/>
      <c r="P960" s="27"/>
      <c r="Q960" s="27"/>
      <c r="R960" s="27"/>
    </row>
    <row r="961" spans="2:18" s="25" customFormat="1" x14ac:dyDescent="0.25">
      <c r="B961" s="350"/>
      <c r="D961" s="355"/>
      <c r="I961" s="58"/>
      <c r="M961" s="27"/>
      <c r="N961" s="27"/>
      <c r="O961" s="27"/>
      <c r="P961" s="27"/>
      <c r="Q961" s="27"/>
      <c r="R961" s="27"/>
    </row>
    <row r="962" spans="2:18" s="25" customFormat="1" x14ac:dyDescent="0.25">
      <c r="B962" s="350"/>
      <c r="D962" s="355"/>
      <c r="I962" s="58"/>
      <c r="M962" s="27"/>
      <c r="N962" s="27"/>
      <c r="O962" s="27"/>
      <c r="P962" s="27"/>
      <c r="Q962" s="27"/>
      <c r="R962" s="27"/>
    </row>
    <row r="963" spans="2:18" s="25" customFormat="1" x14ac:dyDescent="0.25">
      <c r="B963" s="350"/>
      <c r="D963" s="355"/>
      <c r="I963" s="58"/>
      <c r="M963" s="27"/>
      <c r="N963" s="27"/>
      <c r="O963" s="27"/>
      <c r="P963" s="27"/>
      <c r="Q963" s="27"/>
      <c r="R963" s="27"/>
    </row>
    <row r="964" spans="2:18" s="25" customFormat="1" x14ac:dyDescent="0.25">
      <c r="B964" s="350"/>
      <c r="D964" s="355"/>
      <c r="I964" s="58"/>
      <c r="M964" s="27"/>
      <c r="N964" s="27"/>
      <c r="O964" s="27"/>
      <c r="P964" s="27"/>
      <c r="Q964" s="27"/>
      <c r="R964" s="27"/>
    </row>
    <row r="965" spans="2:18" s="25" customFormat="1" x14ac:dyDescent="0.25">
      <c r="B965" s="350"/>
      <c r="D965" s="355"/>
      <c r="I965" s="58"/>
      <c r="M965" s="27"/>
      <c r="N965" s="27"/>
      <c r="O965" s="27"/>
      <c r="P965" s="27"/>
      <c r="Q965" s="27"/>
      <c r="R965" s="27"/>
    </row>
    <row r="966" spans="2:18" s="25" customFormat="1" x14ac:dyDescent="0.25">
      <c r="B966" s="350"/>
      <c r="D966" s="355"/>
      <c r="I966" s="58"/>
      <c r="M966" s="27"/>
      <c r="N966" s="27"/>
      <c r="O966" s="27"/>
      <c r="P966" s="27"/>
      <c r="Q966" s="27"/>
      <c r="R966" s="27"/>
    </row>
    <row r="967" spans="2:18" s="25" customFormat="1" x14ac:dyDescent="0.25">
      <c r="B967" s="350"/>
      <c r="D967" s="355"/>
      <c r="I967" s="58"/>
      <c r="M967" s="27"/>
      <c r="N967" s="27"/>
      <c r="O967" s="27"/>
      <c r="P967" s="27"/>
      <c r="Q967" s="27"/>
      <c r="R967" s="27"/>
    </row>
    <row r="968" spans="2:18" s="25" customFormat="1" x14ac:dyDescent="0.25">
      <c r="B968" s="350"/>
      <c r="D968" s="355"/>
      <c r="I968" s="58"/>
      <c r="M968" s="27"/>
      <c r="N968" s="27"/>
      <c r="O968" s="27"/>
      <c r="P968" s="27"/>
      <c r="Q968" s="27"/>
      <c r="R968" s="27"/>
    </row>
    <row r="969" spans="2:18" s="25" customFormat="1" x14ac:dyDescent="0.25">
      <c r="B969" s="350"/>
      <c r="D969" s="355"/>
      <c r="I969" s="58"/>
      <c r="M969" s="27"/>
      <c r="N969" s="27"/>
      <c r="O969" s="27"/>
      <c r="P969" s="27"/>
      <c r="Q969" s="27"/>
      <c r="R969" s="27"/>
    </row>
    <row r="970" spans="2:18" s="25" customFormat="1" x14ac:dyDescent="0.25">
      <c r="B970" s="350"/>
      <c r="D970" s="355"/>
      <c r="I970" s="58"/>
      <c r="M970" s="27"/>
      <c r="N970" s="27"/>
      <c r="O970" s="27"/>
      <c r="P970" s="27"/>
      <c r="Q970" s="27"/>
      <c r="R970" s="27"/>
    </row>
    <row r="971" spans="2:18" s="25" customFormat="1" x14ac:dyDescent="0.25">
      <c r="B971" s="350"/>
      <c r="D971" s="355"/>
      <c r="I971" s="58"/>
      <c r="M971" s="27"/>
      <c r="N971" s="27"/>
      <c r="O971" s="27"/>
      <c r="P971" s="27"/>
      <c r="Q971" s="27"/>
      <c r="R971" s="27"/>
    </row>
    <row r="972" spans="2:18" s="25" customFormat="1" x14ac:dyDescent="0.25">
      <c r="B972" s="350"/>
      <c r="D972" s="355"/>
      <c r="I972" s="58"/>
      <c r="M972" s="27"/>
      <c r="N972" s="27"/>
      <c r="O972" s="27"/>
      <c r="P972" s="27"/>
      <c r="Q972" s="27"/>
      <c r="R972" s="27"/>
    </row>
    <row r="973" spans="2:18" s="25" customFormat="1" x14ac:dyDescent="0.25">
      <c r="B973" s="350"/>
      <c r="D973" s="355"/>
      <c r="I973" s="58"/>
      <c r="M973" s="27"/>
      <c r="N973" s="27"/>
      <c r="O973" s="27"/>
      <c r="P973" s="27"/>
      <c r="Q973" s="27"/>
      <c r="R973" s="27"/>
    </row>
    <row r="974" spans="2:18" s="25" customFormat="1" x14ac:dyDescent="0.25">
      <c r="B974" s="350"/>
      <c r="D974" s="355"/>
      <c r="I974" s="58"/>
      <c r="M974" s="27"/>
      <c r="N974" s="27"/>
      <c r="O974" s="27"/>
      <c r="P974" s="27"/>
      <c r="Q974" s="27"/>
      <c r="R974" s="27"/>
    </row>
    <row r="975" spans="2:18" s="25" customFormat="1" x14ac:dyDescent="0.25">
      <c r="B975" s="350"/>
      <c r="D975" s="355"/>
      <c r="I975" s="58"/>
      <c r="M975" s="27"/>
      <c r="N975" s="27"/>
      <c r="O975" s="27"/>
      <c r="P975" s="27"/>
      <c r="Q975" s="27"/>
      <c r="R975" s="27"/>
    </row>
    <row r="976" spans="2:18" s="25" customFormat="1" x14ac:dyDescent="0.25">
      <c r="B976" s="350"/>
      <c r="D976" s="355"/>
      <c r="I976" s="58"/>
      <c r="M976" s="27"/>
      <c r="N976" s="27"/>
      <c r="O976" s="27"/>
      <c r="P976" s="27"/>
      <c r="Q976" s="27"/>
      <c r="R976" s="27"/>
    </row>
    <row r="977" spans="2:18" s="25" customFormat="1" x14ac:dyDescent="0.25">
      <c r="B977" s="350"/>
      <c r="D977" s="355"/>
      <c r="I977" s="58"/>
      <c r="M977" s="27"/>
      <c r="N977" s="27"/>
      <c r="O977" s="27"/>
      <c r="P977" s="27"/>
      <c r="Q977" s="27"/>
      <c r="R977" s="27"/>
    </row>
    <row r="978" spans="2:18" s="25" customFormat="1" x14ac:dyDescent="0.25">
      <c r="B978" s="350"/>
      <c r="D978" s="355"/>
      <c r="I978" s="58"/>
      <c r="M978" s="27"/>
      <c r="N978" s="27"/>
      <c r="O978" s="27"/>
      <c r="P978" s="27"/>
      <c r="Q978" s="27"/>
      <c r="R978" s="27"/>
    </row>
    <row r="979" spans="2:18" s="25" customFormat="1" x14ac:dyDescent="0.25">
      <c r="B979" s="350"/>
      <c r="D979" s="355"/>
      <c r="I979" s="58"/>
      <c r="M979" s="27"/>
      <c r="N979" s="27"/>
      <c r="O979" s="27"/>
      <c r="P979" s="27"/>
      <c r="Q979" s="27"/>
      <c r="R979" s="27"/>
    </row>
    <row r="980" spans="2:18" s="25" customFormat="1" x14ac:dyDescent="0.25">
      <c r="B980" s="350"/>
      <c r="D980" s="355"/>
      <c r="I980" s="58"/>
      <c r="M980" s="27"/>
      <c r="N980" s="27"/>
      <c r="O980" s="27"/>
      <c r="P980" s="27"/>
      <c r="Q980" s="27"/>
      <c r="R980" s="27"/>
    </row>
    <row r="981" spans="2:18" s="25" customFormat="1" x14ac:dyDescent="0.25">
      <c r="B981" s="350"/>
      <c r="D981" s="355"/>
      <c r="I981" s="58"/>
      <c r="M981" s="27"/>
      <c r="N981" s="27"/>
      <c r="O981" s="27"/>
      <c r="P981" s="27"/>
      <c r="Q981" s="27"/>
      <c r="R981" s="27"/>
    </row>
    <row r="982" spans="2:18" s="25" customFormat="1" x14ac:dyDescent="0.25">
      <c r="B982" s="350"/>
      <c r="D982" s="355"/>
      <c r="I982" s="58"/>
      <c r="M982" s="27"/>
      <c r="N982" s="27"/>
      <c r="O982" s="27"/>
      <c r="P982" s="27"/>
      <c r="Q982" s="27"/>
      <c r="R982" s="27"/>
    </row>
    <row r="983" spans="2:18" s="25" customFormat="1" x14ac:dyDescent="0.25">
      <c r="B983" s="350"/>
      <c r="D983" s="355"/>
      <c r="I983" s="58"/>
      <c r="M983" s="27"/>
      <c r="N983" s="27"/>
      <c r="O983" s="27"/>
      <c r="P983" s="27"/>
      <c r="Q983" s="27"/>
      <c r="R983" s="27"/>
    </row>
    <row r="984" spans="2:18" s="25" customFormat="1" x14ac:dyDescent="0.25">
      <c r="B984" s="350"/>
      <c r="D984" s="355"/>
      <c r="I984" s="58"/>
      <c r="M984" s="27"/>
      <c r="N984" s="27"/>
      <c r="O984" s="27"/>
      <c r="P984" s="27"/>
      <c r="Q984" s="27"/>
      <c r="R984" s="27"/>
    </row>
    <row r="985" spans="2:18" s="25" customFormat="1" x14ac:dyDescent="0.25">
      <c r="B985" s="350"/>
      <c r="D985" s="355"/>
      <c r="I985" s="58"/>
      <c r="M985" s="27"/>
      <c r="N985" s="27"/>
      <c r="O985" s="27"/>
      <c r="P985" s="27"/>
      <c r="Q985" s="27"/>
      <c r="R985" s="27"/>
    </row>
    <row r="986" spans="2:18" s="25" customFormat="1" x14ac:dyDescent="0.25">
      <c r="B986" s="350"/>
      <c r="D986" s="355"/>
      <c r="I986" s="58"/>
      <c r="M986" s="27"/>
      <c r="N986" s="27"/>
      <c r="O986" s="27"/>
      <c r="P986" s="27"/>
      <c r="Q986" s="27"/>
      <c r="R986" s="27"/>
    </row>
    <row r="987" spans="2:18" s="25" customFormat="1" x14ac:dyDescent="0.25">
      <c r="B987" s="350"/>
      <c r="D987" s="355"/>
      <c r="I987" s="58"/>
      <c r="M987" s="27"/>
      <c r="N987" s="27"/>
      <c r="O987" s="27"/>
      <c r="P987" s="27"/>
      <c r="Q987" s="27"/>
      <c r="R987" s="27"/>
    </row>
    <row r="988" spans="2:18" s="25" customFormat="1" x14ac:dyDescent="0.25">
      <c r="B988" s="350"/>
      <c r="D988" s="355"/>
      <c r="I988" s="58"/>
      <c r="M988" s="27"/>
      <c r="N988" s="27"/>
      <c r="O988" s="27"/>
      <c r="P988" s="27"/>
      <c r="Q988" s="27"/>
      <c r="R988" s="27"/>
    </row>
    <row r="989" spans="2:18" s="25" customFormat="1" x14ac:dyDescent="0.25">
      <c r="B989" s="350"/>
      <c r="D989" s="355"/>
      <c r="I989" s="58"/>
      <c r="M989" s="27"/>
      <c r="N989" s="27"/>
      <c r="O989" s="27"/>
      <c r="P989" s="27"/>
      <c r="Q989" s="27"/>
      <c r="R989" s="27"/>
    </row>
    <row r="990" spans="2:18" s="25" customFormat="1" x14ac:dyDescent="0.25">
      <c r="B990" s="350"/>
      <c r="D990" s="355"/>
      <c r="I990" s="58"/>
      <c r="M990" s="27"/>
      <c r="N990" s="27"/>
      <c r="O990" s="27"/>
      <c r="P990" s="27"/>
      <c r="Q990" s="27"/>
      <c r="R990" s="27"/>
    </row>
    <row r="991" spans="2:18" s="25" customFormat="1" x14ac:dyDescent="0.25">
      <c r="B991" s="350"/>
      <c r="D991" s="355"/>
      <c r="I991" s="58"/>
      <c r="M991" s="27"/>
      <c r="N991" s="27"/>
      <c r="O991" s="27"/>
      <c r="P991" s="27"/>
      <c r="Q991" s="27"/>
      <c r="R991" s="27"/>
    </row>
    <row r="992" spans="2:18" s="25" customFormat="1" x14ac:dyDescent="0.25">
      <c r="B992" s="350"/>
      <c r="D992" s="355"/>
      <c r="I992" s="58"/>
      <c r="M992" s="27"/>
      <c r="N992" s="27"/>
      <c r="O992" s="27"/>
      <c r="P992" s="27"/>
      <c r="Q992" s="27"/>
      <c r="R992" s="27"/>
    </row>
    <row r="993" spans="2:18" s="25" customFormat="1" x14ac:dyDescent="0.25">
      <c r="B993" s="350"/>
      <c r="D993" s="355"/>
      <c r="I993" s="58"/>
      <c r="M993" s="27"/>
      <c r="N993" s="27"/>
      <c r="O993" s="27"/>
      <c r="P993" s="27"/>
      <c r="Q993" s="27"/>
      <c r="R993" s="27"/>
    </row>
    <row r="994" spans="2:18" s="25" customFormat="1" x14ac:dyDescent="0.25">
      <c r="B994" s="350"/>
      <c r="D994" s="355"/>
      <c r="I994" s="58"/>
      <c r="M994" s="27"/>
      <c r="N994" s="27"/>
      <c r="O994" s="27"/>
      <c r="P994" s="27"/>
      <c r="Q994" s="27"/>
      <c r="R994" s="27"/>
    </row>
    <row r="995" spans="2:18" s="25" customFormat="1" x14ac:dyDescent="0.25">
      <c r="B995" s="350"/>
      <c r="D995" s="355"/>
      <c r="I995" s="58"/>
      <c r="M995" s="27"/>
      <c r="N995" s="27"/>
      <c r="O995" s="27"/>
      <c r="P995" s="27"/>
      <c r="Q995" s="27"/>
      <c r="R995" s="27"/>
    </row>
    <row r="996" spans="2:18" s="25" customFormat="1" x14ac:dyDescent="0.25">
      <c r="B996" s="350"/>
      <c r="D996" s="355"/>
      <c r="I996" s="58"/>
      <c r="M996" s="27"/>
      <c r="N996" s="27"/>
      <c r="O996" s="27"/>
      <c r="P996" s="27"/>
      <c r="Q996" s="27"/>
      <c r="R996" s="27"/>
    </row>
    <row r="997" spans="2:18" s="25" customFormat="1" x14ac:dyDescent="0.25">
      <c r="B997" s="350"/>
      <c r="D997" s="355"/>
      <c r="I997" s="58"/>
      <c r="M997" s="27"/>
      <c r="N997" s="27"/>
      <c r="O997" s="27"/>
      <c r="P997" s="27"/>
      <c r="Q997" s="27"/>
      <c r="R997" s="27"/>
    </row>
    <row r="998" spans="2:18" s="25" customFormat="1" x14ac:dyDescent="0.25">
      <c r="B998" s="350"/>
      <c r="D998" s="355"/>
      <c r="I998" s="58"/>
      <c r="M998" s="27"/>
      <c r="N998" s="27"/>
      <c r="O998" s="27"/>
      <c r="P998" s="27"/>
      <c r="Q998" s="27"/>
      <c r="R998" s="27"/>
    </row>
    <row r="999" spans="2:18" s="25" customFormat="1" x14ac:dyDescent="0.25">
      <c r="B999" s="350"/>
      <c r="D999" s="355"/>
      <c r="I999" s="58"/>
      <c r="M999" s="27"/>
      <c r="N999" s="27"/>
      <c r="O999" s="27"/>
      <c r="P999" s="27"/>
      <c r="Q999" s="27"/>
      <c r="R999" s="27"/>
    </row>
    <row r="1000" spans="2:18" s="25" customFormat="1" x14ac:dyDescent="0.25">
      <c r="B1000" s="350"/>
      <c r="D1000" s="355"/>
      <c r="I1000" s="58"/>
      <c r="M1000" s="27"/>
      <c r="N1000" s="27"/>
      <c r="O1000" s="27"/>
      <c r="P1000" s="27"/>
      <c r="Q1000" s="27"/>
      <c r="R1000" s="27"/>
    </row>
    <row r="1001" spans="2:18" s="25" customFormat="1" x14ac:dyDescent="0.25">
      <c r="B1001" s="350"/>
      <c r="D1001" s="355"/>
      <c r="I1001" s="58"/>
      <c r="M1001" s="27"/>
      <c r="N1001" s="27"/>
      <c r="O1001" s="27"/>
      <c r="P1001" s="27"/>
      <c r="Q1001" s="27"/>
      <c r="R1001" s="27"/>
    </row>
    <row r="1002" spans="2:18" s="25" customFormat="1" x14ac:dyDescent="0.25">
      <c r="B1002" s="350"/>
      <c r="D1002" s="355"/>
      <c r="I1002" s="58"/>
      <c r="M1002" s="27"/>
      <c r="N1002" s="27"/>
      <c r="O1002" s="27"/>
      <c r="P1002" s="27"/>
      <c r="Q1002" s="27"/>
      <c r="R1002" s="27"/>
    </row>
    <row r="1003" spans="2:18" s="25" customFormat="1" x14ac:dyDescent="0.25">
      <c r="B1003" s="350"/>
      <c r="D1003" s="355"/>
      <c r="I1003" s="58"/>
      <c r="M1003" s="27"/>
      <c r="N1003" s="27"/>
      <c r="O1003" s="27"/>
      <c r="P1003" s="27"/>
      <c r="Q1003" s="27"/>
      <c r="R1003" s="27"/>
    </row>
    <row r="1004" spans="2:18" s="25" customFormat="1" x14ac:dyDescent="0.25">
      <c r="B1004" s="350"/>
      <c r="D1004" s="355"/>
      <c r="I1004" s="58"/>
      <c r="M1004" s="27"/>
      <c r="N1004" s="27"/>
      <c r="O1004" s="27"/>
      <c r="P1004" s="27"/>
      <c r="Q1004" s="27"/>
      <c r="R1004" s="27"/>
    </row>
    <row r="1005" spans="2:18" s="25" customFormat="1" x14ac:dyDescent="0.25">
      <c r="B1005" s="350"/>
      <c r="D1005" s="355"/>
      <c r="I1005" s="58"/>
      <c r="M1005" s="27"/>
      <c r="N1005" s="27"/>
      <c r="O1005" s="27"/>
      <c r="P1005" s="27"/>
      <c r="Q1005" s="27"/>
      <c r="R1005" s="27"/>
    </row>
    <row r="1006" spans="2:18" s="25" customFormat="1" x14ac:dyDescent="0.25">
      <c r="B1006" s="350"/>
      <c r="D1006" s="355"/>
      <c r="I1006" s="58"/>
      <c r="M1006" s="27"/>
      <c r="N1006" s="27"/>
      <c r="O1006" s="27"/>
      <c r="P1006" s="27"/>
      <c r="Q1006" s="27"/>
      <c r="R1006" s="27"/>
    </row>
    <row r="1007" spans="2:18" s="25" customFormat="1" x14ac:dyDescent="0.25">
      <c r="B1007" s="350"/>
      <c r="D1007" s="355"/>
      <c r="I1007" s="58"/>
      <c r="M1007" s="27"/>
      <c r="N1007" s="27"/>
      <c r="O1007" s="27"/>
      <c r="P1007" s="27"/>
      <c r="Q1007" s="27"/>
      <c r="R1007" s="27"/>
    </row>
    <row r="1008" spans="2:18" s="25" customFormat="1" x14ac:dyDescent="0.25">
      <c r="B1008" s="350"/>
      <c r="D1008" s="355"/>
      <c r="I1008" s="58"/>
      <c r="M1008" s="27"/>
      <c r="N1008" s="27"/>
      <c r="O1008" s="27"/>
      <c r="P1008" s="27"/>
      <c r="Q1008" s="27"/>
      <c r="R1008" s="27"/>
    </row>
    <row r="1009" spans="2:18" s="25" customFormat="1" x14ac:dyDescent="0.25">
      <c r="B1009" s="350"/>
      <c r="D1009" s="355"/>
      <c r="I1009" s="58"/>
      <c r="M1009" s="27"/>
      <c r="N1009" s="27"/>
      <c r="O1009" s="27"/>
      <c r="P1009" s="27"/>
      <c r="Q1009" s="27"/>
      <c r="R1009" s="27"/>
    </row>
    <row r="1010" spans="2:18" s="25" customFormat="1" x14ac:dyDescent="0.25">
      <c r="B1010" s="350"/>
      <c r="D1010" s="355"/>
      <c r="I1010" s="58"/>
      <c r="M1010" s="27"/>
      <c r="N1010" s="27"/>
      <c r="O1010" s="27"/>
      <c r="P1010" s="27"/>
      <c r="Q1010" s="27"/>
      <c r="R1010" s="27"/>
    </row>
    <row r="1011" spans="2:18" s="25" customFormat="1" x14ac:dyDescent="0.25">
      <c r="B1011" s="350"/>
      <c r="D1011" s="355"/>
      <c r="I1011" s="58"/>
      <c r="M1011" s="27"/>
      <c r="N1011" s="27"/>
      <c r="O1011" s="27"/>
      <c r="P1011" s="27"/>
      <c r="Q1011" s="27"/>
      <c r="R1011" s="27"/>
    </row>
    <row r="1012" spans="2:18" s="25" customFormat="1" x14ac:dyDescent="0.25">
      <c r="B1012" s="350"/>
      <c r="D1012" s="355"/>
      <c r="I1012" s="58"/>
      <c r="M1012" s="27"/>
      <c r="N1012" s="27"/>
      <c r="O1012" s="27"/>
      <c r="P1012" s="27"/>
      <c r="Q1012" s="27"/>
      <c r="R1012" s="27"/>
    </row>
    <row r="1013" spans="2:18" s="25" customFormat="1" x14ac:dyDescent="0.25">
      <c r="B1013" s="350"/>
      <c r="D1013" s="355"/>
      <c r="I1013" s="58"/>
      <c r="M1013" s="27"/>
      <c r="N1013" s="27"/>
      <c r="O1013" s="27"/>
      <c r="P1013" s="27"/>
      <c r="Q1013" s="27"/>
      <c r="R1013" s="27"/>
    </row>
    <row r="1014" spans="2:18" s="25" customFormat="1" x14ac:dyDescent="0.25">
      <c r="B1014" s="350"/>
      <c r="D1014" s="355"/>
      <c r="I1014" s="58"/>
      <c r="M1014" s="27"/>
      <c r="N1014" s="27"/>
      <c r="O1014" s="27"/>
      <c r="P1014" s="27"/>
      <c r="Q1014" s="27"/>
      <c r="R1014" s="27"/>
    </row>
    <row r="1015" spans="2:18" s="25" customFormat="1" x14ac:dyDescent="0.25">
      <c r="B1015" s="350"/>
      <c r="D1015" s="355"/>
      <c r="I1015" s="58"/>
      <c r="M1015" s="27"/>
      <c r="N1015" s="27"/>
      <c r="O1015" s="27"/>
      <c r="P1015" s="27"/>
      <c r="Q1015" s="27"/>
      <c r="R1015" s="27"/>
    </row>
    <row r="1016" spans="2:18" s="25" customFormat="1" x14ac:dyDescent="0.25">
      <c r="B1016" s="350"/>
      <c r="D1016" s="355"/>
      <c r="I1016" s="58"/>
      <c r="M1016" s="27"/>
      <c r="N1016" s="27"/>
      <c r="O1016" s="27"/>
      <c r="P1016" s="27"/>
      <c r="Q1016" s="27"/>
      <c r="R1016" s="27"/>
    </row>
    <row r="1017" spans="2:18" s="25" customFormat="1" x14ac:dyDescent="0.25">
      <c r="B1017" s="350"/>
      <c r="D1017" s="355"/>
      <c r="I1017" s="58"/>
      <c r="M1017" s="27"/>
      <c r="N1017" s="27"/>
      <c r="O1017" s="27"/>
      <c r="P1017" s="27"/>
      <c r="Q1017" s="27"/>
      <c r="R1017" s="27"/>
    </row>
    <row r="1018" spans="2:18" s="25" customFormat="1" x14ac:dyDescent="0.25">
      <c r="B1018" s="350"/>
      <c r="D1018" s="355"/>
      <c r="I1018" s="58"/>
      <c r="M1018" s="27"/>
      <c r="N1018" s="27"/>
      <c r="O1018" s="27"/>
      <c r="P1018" s="27"/>
      <c r="Q1018" s="27"/>
      <c r="R1018" s="27"/>
    </row>
    <row r="1019" spans="2:18" s="25" customFormat="1" x14ac:dyDescent="0.25">
      <c r="B1019" s="350"/>
      <c r="D1019" s="355"/>
      <c r="I1019" s="58"/>
      <c r="M1019" s="27"/>
      <c r="N1019" s="27"/>
      <c r="O1019" s="27"/>
      <c r="P1019" s="27"/>
      <c r="Q1019" s="27"/>
      <c r="R1019" s="27"/>
    </row>
    <row r="1020" spans="2:18" s="25" customFormat="1" x14ac:dyDescent="0.25">
      <c r="B1020" s="350"/>
      <c r="D1020" s="355"/>
      <c r="I1020" s="58"/>
      <c r="M1020" s="27"/>
      <c r="N1020" s="27"/>
      <c r="O1020" s="27"/>
      <c r="P1020" s="27"/>
      <c r="Q1020" s="27"/>
      <c r="R1020" s="27"/>
    </row>
    <row r="1021" spans="2:18" s="25" customFormat="1" x14ac:dyDescent="0.25">
      <c r="B1021" s="350"/>
      <c r="D1021" s="355"/>
      <c r="I1021" s="58"/>
      <c r="M1021" s="27"/>
      <c r="N1021" s="27"/>
      <c r="O1021" s="27"/>
      <c r="P1021" s="27"/>
      <c r="Q1021" s="27"/>
      <c r="R1021" s="27"/>
    </row>
    <row r="1022" spans="2:18" s="25" customFormat="1" x14ac:dyDescent="0.25">
      <c r="B1022" s="350"/>
      <c r="D1022" s="355"/>
      <c r="I1022" s="58"/>
      <c r="M1022" s="27"/>
      <c r="N1022" s="27"/>
      <c r="O1022" s="27"/>
      <c r="P1022" s="27"/>
      <c r="Q1022" s="27"/>
      <c r="R1022" s="27"/>
    </row>
    <row r="1023" spans="2:18" s="25" customFormat="1" x14ac:dyDescent="0.25">
      <c r="B1023" s="350"/>
      <c r="D1023" s="355"/>
      <c r="I1023" s="58"/>
      <c r="M1023" s="27"/>
      <c r="N1023" s="27"/>
      <c r="O1023" s="27"/>
      <c r="P1023" s="27"/>
      <c r="Q1023" s="27"/>
      <c r="R1023" s="27"/>
    </row>
    <row r="1024" spans="2:18" s="25" customFormat="1" x14ac:dyDescent="0.25">
      <c r="B1024" s="350"/>
      <c r="D1024" s="355"/>
      <c r="I1024" s="58"/>
      <c r="M1024" s="27"/>
      <c r="N1024" s="27"/>
      <c r="O1024" s="27"/>
      <c r="P1024" s="27"/>
      <c r="Q1024" s="27"/>
      <c r="R1024" s="27"/>
    </row>
    <row r="1025" spans="2:18" s="25" customFormat="1" x14ac:dyDescent="0.25">
      <c r="B1025" s="350"/>
      <c r="D1025" s="355"/>
      <c r="I1025" s="58"/>
      <c r="M1025" s="27"/>
      <c r="N1025" s="27"/>
      <c r="O1025" s="27"/>
      <c r="P1025" s="27"/>
      <c r="Q1025" s="27"/>
      <c r="R1025" s="27"/>
    </row>
    <row r="1026" spans="2:18" s="25" customFormat="1" x14ac:dyDescent="0.25">
      <c r="B1026" s="350"/>
      <c r="D1026" s="355"/>
      <c r="I1026" s="58"/>
      <c r="M1026" s="27"/>
      <c r="N1026" s="27"/>
      <c r="O1026" s="27"/>
      <c r="P1026" s="27"/>
      <c r="Q1026" s="27"/>
      <c r="R1026" s="27"/>
    </row>
    <row r="1027" spans="2:18" s="25" customFormat="1" x14ac:dyDescent="0.25">
      <c r="B1027" s="350"/>
      <c r="D1027" s="355"/>
      <c r="I1027" s="58"/>
      <c r="M1027" s="27"/>
      <c r="N1027" s="27"/>
      <c r="O1027" s="27"/>
      <c r="P1027" s="27"/>
      <c r="Q1027" s="27"/>
      <c r="R1027" s="27"/>
    </row>
    <row r="1028" spans="2:18" s="25" customFormat="1" x14ac:dyDescent="0.25">
      <c r="B1028" s="350"/>
      <c r="D1028" s="355"/>
      <c r="I1028" s="58"/>
      <c r="M1028" s="27"/>
      <c r="N1028" s="27"/>
      <c r="O1028" s="27"/>
      <c r="P1028" s="27"/>
      <c r="Q1028" s="27"/>
      <c r="R1028" s="27"/>
    </row>
    <row r="1029" spans="2:18" s="25" customFormat="1" x14ac:dyDescent="0.25">
      <c r="B1029" s="350"/>
      <c r="D1029" s="355"/>
      <c r="I1029" s="58"/>
      <c r="M1029" s="27"/>
      <c r="N1029" s="27"/>
      <c r="O1029" s="27"/>
      <c r="P1029" s="27"/>
      <c r="Q1029" s="27"/>
      <c r="R1029" s="27"/>
    </row>
    <row r="1030" spans="2:18" s="25" customFormat="1" x14ac:dyDescent="0.25">
      <c r="B1030" s="350"/>
      <c r="D1030" s="355"/>
      <c r="I1030" s="58"/>
      <c r="M1030" s="27"/>
      <c r="N1030" s="27"/>
      <c r="O1030" s="27"/>
      <c r="P1030" s="27"/>
      <c r="Q1030" s="27"/>
      <c r="R1030" s="27"/>
    </row>
    <row r="1031" spans="2:18" s="25" customFormat="1" x14ac:dyDescent="0.25">
      <c r="B1031" s="350"/>
      <c r="D1031" s="355"/>
      <c r="I1031" s="58"/>
      <c r="M1031" s="27"/>
      <c r="N1031" s="27"/>
      <c r="O1031" s="27"/>
      <c r="P1031" s="27"/>
      <c r="Q1031" s="27"/>
      <c r="R1031" s="27"/>
    </row>
    <row r="1032" spans="2:18" s="25" customFormat="1" x14ac:dyDescent="0.25">
      <c r="B1032" s="350"/>
      <c r="D1032" s="355"/>
      <c r="I1032" s="58"/>
      <c r="M1032" s="27"/>
      <c r="N1032" s="27"/>
      <c r="O1032" s="27"/>
      <c r="P1032" s="27"/>
      <c r="Q1032" s="27"/>
      <c r="R1032" s="27"/>
    </row>
    <row r="1033" spans="2:18" s="25" customFormat="1" x14ac:dyDescent="0.25">
      <c r="B1033" s="350"/>
      <c r="D1033" s="355"/>
      <c r="I1033" s="58"/>
      <c r="M1033" s="27"/>
      <c r="N1033" s="27"/>
      <c r="O1033" s="27"/>
      <c r="P1033" s="27"/>
      <c r="Q1033" s="27"/>
      <c r="R1033" s="27"/>
    </row>
    <row r="1034" spans="2:18" s="25" customFormat="1" x14ac:dyDescent="0.25">
      <c r="B1034" s="350"/>
      <c r="D1034" s="355"/>
      <c r="I1034" s="58"/>
      <c r="M1034" s="27"/>
      <c r="N1034" s="27"/>
      <c r="O1034" s="27"/>
      <c r="P1034" s="27"/>
      <c r="Q1034" s="27"/>
      <c r="R1034" s="27"/>
    </row>
    <row r="1035" spans="2:18" s="25" customFormat="1" x14ac:dyDescent="0.25">
      <c r="B1035" s="350"/>
      <c r="D1035" s="355"/>
      <c r="I1035" s="58"/>
      <c r="M1035" s="27"/>
      <c r="N1035" s="27"/>
      <c r="O1035" s="27"/>
      <c r="P1035" s="27"/>
      <c r="Q1035" s="27"/>
      <c r="R1035" s="27"/>
    </row>
    <row r="1036" spans="2:18" s="25" customFormat="1" x14ac:dyDescent="0.25">
      <c r="B1036" s="350"/>
      <c r="D1036" s="355"/>
      <c r="I1036" s="58"/>
      <c r="M1036" s="27"/>
      <c r="N1036" s="27"/>
      <c r="O1036" s="27"/>
      <c r="P1036" s="27"/>
      <c r="Q1036" s="27"/>
      <c r="R1036" s="27"/>
    </row>
    <row r="1037" spans="2:18" s="25" customFormat="1" x14ac:dyDescent="0.25">
      <c r="B1037" s="350"/>
      <c r="D1037" s="355"/>
      <c r="I1037" s="58"/>
      <c r="M1037" s="27"/>
      <c r="N1037" s="27"/>
      <c r="O1037" s="27"/>
      <c r="P1037" s="27"/>
      <c r="Q1037" s="27"/>
      <c r="R1037" s="27"/>
    </row>
    <row r="1038" spans="2:18" s="25" customFormat="1" x14ac:dyDescent="0.25">
      <c r="B1038" s="350"/>
      <c r="D1038" s="355"/>
      <c r="I1038" s="58"/>
      <c r="M1038" s="27"/>
      <c r="N1038" s="27"/>
      <c r="O1038" s="27"/>
      <c r="P1038" s="27"/>
      <c r="Q1038" s="27"/>
      <c r="R1038" s="27"/>
    </row>
    <row r="1039" spans="2:18" s="25" customFormat="1" x14ac:dyDescent="0.25">
      <c r="B1039" s="350"/>
      <c r="D1039" s="355"/>
      <c r="I1039" s="58"/>
      <c r="M1039" s="27"/>
      <c r="N1039" s="27"/>
      <c r="O1039" s="27"/>
      <c r="P1039" s="27"/>
      <c r="Q1039" s="27"/>
      <c r="R1039" s="27"/>
    </row>
    <row r="1040" spans="2:18" s="25" customFormat="1" x14ac:dyDescent="0.25">
      <c r="B1040" s="350"/>
      <c r="D1040" s="355"/>
      <c r="I1040" s="58"/>
      <c r="M1040" s="27"/>
      <c r="N1040" s="27"/>
      <c r="O1040" s="27"/>
      <c r="P1040" s="27"/>
      <c r="Q1040" s="27"/>
      <c r="R1040" s="27"/>
    </row>
    <row r="1041" spans="2:18" s="25" customFormat="1" x14ac:dyDescent="0.25">
      <c r="B1041" s="350"/>
      <c r="D1041" s="355"/>
      <c r="I1041" s="58"/>
      <c r="M1041" s="27"/>
      <c r="N1041" s="27"/>
      <c r="O1041" s="27"/>
      <c r="P1041" s="27"/>
      <c r="Q1041" s="27"/>
      <c r="R1041" s="27"/>
    </row>
    <row r="1042" spans="2:18" s="25" customFormat="1" x14ac:dyDescent="0.25">
      <c r="B1042" s="350"/>
      <c r="D1042" s="355"/>
      <c r="I1042" s="58"/>
      <c r="M1042" s="27"/>
      <c r="N1042" s="27"/>
      <c r="O1042" s="27"/>
      <c r="P1042" s="27"/>
      <c r="Q1042" s="27"/>
      <c r="R1042" s="27"/>
    </row>
    <row r="1043" spans="2:18" s="25" customFormat="1" x14ac:dyDescent="0.25">
      <c r="B1043" s="350"/>
      <c r="D1043" s="355"/>
      <c r="I1043" s="58"/>
      <c r="M1043" s="27"/>
      <c r="N1043" s="27"/>
      <c r="O1043" s="27"/>
      <c r="P1043" s="27"/>
      <c r="Q1043" s="27"/>
      <c r="R1043" s="27"/>
    </row>
    <row r="1044" spans="2:18" s="25" customFormat="1" x14ac:dyDescent="0.25">
      <c r="B1044" s="350"/>
      <c r="D1044" s="355"/>
      <c r="I1044" s="58"/>
      <c r="M1044" s="27"/>
      <c r="N1044" s="27"/>
      <c r="O1044" s="27"/>
      <c r="P1044" s="27"/>
      <c r="Q1044" s="27"/>
      <c r="R1044" s="27"/>
    </row>
    <row r="1045" spans="2:18" s="25" customFormat="1" x14ac:dyDescent="0.25">
      <c r="B1045" s="350"/>
      <c r="D1045" s="355"/>
      <c r="I1045" s="58"/>
      <c r="M1045" s="27"/>
      <c r="N1045" s="27"/>
      <c r="O1045" s="27"/>
      <c r="P1045" s="27"/>
      <c r="Q1045" s="27"/>
      <c r="R1045" s="27"/>
    </row>
    <row r="1046" spans="2:18" s="25" customFormat="1" x14ac:dyDescent="0.25">
      <c r="B1046" s="350"/>
      <c r="D1046" s="355"/>
      <c r="I1046" s="58"/>
      <c r="M1046" s="27"/>
      <c r="N1046" s="27"/>
      <c r="O1046" s="27"/>
      <c r="P1046" s="27"/>
      <c r="Q1046" s="27"/>
      <c r="R1046" s="27"/>
    </row>
    <row r="1047" spans="2:18" s="25" customFormat="1" x14ac:dyDescent="0.25">
      <c r="B1047" s="350"/>
      <c r="D1047" s="355"/>
      <c r="I1047" s="58"/>
      <c r="M1047" s="27"/>
      <c r="N1047" s="27"/>
      <c r="O1047" s="27"/>
      <c r="P1047" s="27"/>
      <c r="Q1047" s="27"/>
      <c r="R1047" s="27"/>
    </row>
    <row r="1048" spans="2:18" s="25" customFormat="1" x14ac:dyDescent="0.25">
      <c r="B1048" s="350"/>
      <c r="D1048" s="355"/>
      <c r="I1048" s="58"/>
      <c r="M1048" s="27"/>
      <c r="N1048" s="27"/>
      <c r="O1048" s="27"/>
      <c r="P1048" s="27"/>
      <c r="Q1048" s="27"/>
      <c r="R1048" s="27"/>
    </row>
    <row r="1049" spans="2:18" s="25" customFormat="1" x14ac:dyDescent="0.25">
      <c r="B1049" s="350"/>
      <c r="D1049" s="355"/>
      <c r="I1049" s="58"/>
      <c r="M1049" s="27"/>
      <c r="N1049" s="27"/>
      <c r="O1049" s="27"/>
      <c r="P1049" s="27"/>
      <c r="Q1049" s="27"/>
      <c r="R1049" s="27"/>
    </row>
    <row r="1050" spans="2:18" s="25" customFormat="1" x14ac:dyDescent="0.25">
      <c r="B1050" s="350"/>
      <c r="D1050" s="355"/>
      <c r="I1050" s="58"/>
      <c r="M1050" s="27"/>
      <c r="N1050" s="27"/>
      <c r="O1050" s="27"/>
      <c r="P1050" s="27"/>
      <c r="Q1050" s="27"/>
      <c r="R1050" s="27"/>
    </row>
    <row r="1051" spans="2:18" s="25" customFormat="1" x14ac:dyDescent="0.25">
      <c r="B1051" s="350"/>
      <c r="D1051" s="355"/>
      <c r="I1051" s="58"/>
      <c r="M1051" s="27"/>
      <c r="N1051" s="27"/>
      <c r="O1051" s="27"/>
      <c r="P1051" s="27"/>
      <c r="Q1051" s="27"/>
      <c r="R1051" s="27"/>
    </row>
    <row r="1052" spans="2:18" s="25" customFormat="1" x14ac:dyDescent="0.25">
      <c r="B1052" s="350"/>
      <c r="D1052" s="355"/>
      <c r="I1052" s="58"/>
      <c r="M1052" s="27"/>
      <c r="N1052" s="27"/>
      <c r="O1052" s="27"/>
      <c r="P1052" s="27"/>
      <c r="Q1052" s="27"/>
      <c r="R1052" s="27"/>
    </row>
    <row r="1053" spans="2:18" s="25" customFormat="1" x14ac:dyDescent="0.25">
      <c r="B1053" s="350"/>
      <c r="D1053" s="355"/>
      <c r="I1053" s="58"/>
      <c r="M1053" s="27"/>
      <c r="N1053" s="27"/>
      <c r="O1053" s="27"/>
      <c r="P1053" s="27"/>
      <c r="Q1053" s="27"/>
      <c r="R1053" s="27"/>
    </row>
    <row r="1054" spans="2:18" s="25" customFormat="1" x14ac:dyDescent="0.25">
      <c r="B1054" s="350"/>
      <c r="D1054" s="355"/>
      <c r="I1054" s="58"/>
      <c r="M1054" s="27"/>
      <c r="N1054" s="27"/>
      <c r="O1054" s="27"/>
      <c r="P1054" s="27"/>
      <c r="Q1054" s="27"/>
      <c r="R1054" s="27"/>
    </row>
    <row r="1055" spans="2:18" s="25" customFormat="1" x14ac:dyDescent="0.25">
      <c r="B1055" s="350"/>
      <c r="D1055" s="355"/>
      <c r="I1055" s="58"/>
      <c r="M1055" s="27"/>
      <c r="N1055" s="27"/>
      <c r="O1055" s="27"/>
      <c r="P1055" s="27"/>
      <c r="Q1055" s="27"/>
      <c r="R1055" s="27"/>
    </row>
    <row r="1056" spans="2:18" s="25" customFormat="1" x14ac:dyDescent="0.25">
      <c r="B1056" s="350"/>
      <c r="D1056" s="355"/>
      <c r="I1056" s="58"/>
      <c r="M1056" s="27"/>
      <c r="N1056" s="27"/>
      <c r="O1056" s="27"/>
      <c r="P1056" s="27"/>
      <c r="Q1056" s="27"/>
      <c r="R1056" s="27"/>
    </row>
    <row r="1057" spans="2:18" s="25" customFormat="1" x14ac:dyDescent="0.25">
      <c r="B1057" s="350"/>
      <c r="D1057" s="355"/>
      <c r="I1057" s="58"/>
      <c r="M1057" s="27"/>
      <c r="N1057" s="27"/>
      <c r="O1057" s="27"/>
      <c r="P1057" s="27"/>
      <c r="Q1057" s="27"/>
      <c r="R1057" s="27"/>
    </row>
    <row r="1058" spans="2:18" s="25" customFormat="1" x14ac:dyDescent="0.25">
      <c r="B1058" s="350"/>
      <c r="D1058" s="355"/>
      <c r="I1058" s="58"/>
      <c r="M1058" s="27"/>
      <c r="N1058" s="27"/>
      <c r="O1058" s="27"/>
      <c r="P1058" s="27"/>
      <c r="Q1058" s="27"/>
      <c r="R1058" s="27"/>
    </row>
    <row r="1059" spans="2:18" s="25" customFormat="1" x14ac:dyDescent="0.25">
      <c r="B1059" s="350"/>
      <c r="D1059" s="355"/>
      <c r="I1059" s="58"/>
      <c r="M1059" s="27"/>
      <c r="N1059" s="27"/>
      <c r="O1059" s="27"/>
      <c r="P1059" s="27"/>
      <c r="Q1059" s="27"/>
      <c r="R1059" s="27"/>
    </row>
    <row r="1060" spans="2:18" s="25" customFormat="1" x14ac:dyDescent="0.25">
      <c r="B1060" s="350"/>
      <c r="D1060" s="355"/>
      <c r="I1060" s="58"/>
      <c r="M1060" s="27"/>
      <c r="N1060" s="27"/>
      <c r="O1060" s="27"/>
      <c r="P1060" s="27"/>
      <c r="Q1060" s="27"/>
      <c r="R1060" s="27"/>
    </row>
    <row r="1061" spans="2:18" s="25" customFormat="1" x14ac:dyDescent="0.25">
      <c r="B1061" s="350"/>
      <c r="D1061" s="355"/>
      <c r="I1061" s="58"/>
      <c r="M1061" s="27"/>
      <c r="N1061" s="27"/>
      <c r="O1061" s="27"/>
      <c r="P1061" s="27"/>
      <c r="Q1061" s="27"/>
      <c r="R1061" s="27"/>
    </row>
    <row r="1062" spans="2:18" s="25" customFormat="1" x14ac:dyDescent="0.25">
      <c r="B1062" s="350"/>
      <c r="D1062" s="355"/>
      <c r="I1062" s="58"/>
      <c r="M1062" s="27"/>
      <c r="N1062" s="27"/>
      <c r="O1062" s="27"/>
      <c r="P1062" s="27"/>
      <c r="Q1062" s="27"/>
      <c r="R1062" s="27"/>
    </row>
    <row r="1063" spans="2:18" s="25" customFormat="1" x14ac:dyDescent="0.25">
      <c r="B1063" s="350"/>
      <c r="D1063" s="355"/>
      <c r="I1063" s="58"/>
      <c r="M1063" s="27"/>
      <c r="N1063" s="27"/>
      <c r="O1063" s="27"/>
      <c r="P1063" s="27"/>
      <c r="Q1063" s="27"/>
      <c r="R1063" s="27"/>
    </row>
    <row r="1064" spans="2:18" s="25" customFormat="1" x14ac:dyDescent="0.25">
      <c r="B1064" s="350"/>
      <c r="D1064" s="355"/>
      <c r="I1064" s="58"/>
      <c r="M1064" s="27"/>
      <c r="N1064" s="27"/>
      <c r="O1064" s="27"/>
      <c r="P1064" s="27"/>
      <c r="Q1064" s="27"/>
      <c r="R1064" s="27"/>
    </row>
    <row r="1065" spans="2:18" s="25" customFormat="1" x14ac:dyDescent="0.25">
      <c r="B1065" s="350"/>
      <c r="D1065" s="355"/>
      <c r="I1065" s="58"/>
      <c r="M1065" s="27"/>
      <c r="N1065" s="27"/>
      <c r="O1065" s="27"/>
      <c r="P1065" s="27"/>
      <c r="Q1065" s="27"/>
      <c r="R1065" s="27"/>
    </row>
    <row r="1066" spans="2:18" s="25" customFormat="1" x14ac:dyDescent="0.25">
      <c r="B1066" s="350"/>
      <c r="D1066" s="355"/>
      <c r="I1066" s="58"/>
      <c r="M1066" s="27"/>
      <c r="N1066" s="27"/>
      <c r="O1066" s="27"/>
      <c r="P1066" s="27"/>
      <c r="Q1066" s="27"/>
      <c r="R1066" s="27"/>
    </row>
    <row r="1067" spans="2:18" s="25" customFormat="1" x14ac:dyDescent="0.25">
      <c r="B1067" s="350"/>
      <c r="D1067" s="355"/>
      <c r="I1067" s="58"/>
      <c r="M1067" s="27"/>
      <c r="N1067" s="27"/>
      <c r="O1067" s="27"/>
      <c r="P1067" s="27"/>
      <c r="Q1067" s="27"/>
      <c r="R1067" s="27"/>
    </row>
    <row r="1068" spans="2:18" s="25" customFormat="1" x14ac:dyDescent="0.25">
      <c r="B1068" s="350"/>
      <c r="D1068" s="355"/>
      <c r="I1068" s="58"/>
      <c r="M1068" s="27"/>
      <c r="N1068" s="27"/>
      <c r="O1068" s="27"/>
      <c r="P1068" s="27"/>
      <c r="Q1068" s="27"/>
      <c r="R1068" s="27"/>
    </row>
    <row r="1069" spans="2:18" s="25" customFormat="1" x14ac:dyDescent="0.25">
      <c r="B1069" s="350"/>
      <c r="D1069" s="355"/>
      <c r="I1069" s="58"/>
      <c r="M1069" s="27"/>
      <c r="N1069" s="27"/>
      <c r="O1069" s="27"/>
      <c r="P1069" s="27"/>
      <c r="Q1069" s="27"/>
      <c r="R1069" s="27"/>
    </row>
    <row r="1070" spans="2:18" s="25" customFormat="1" x14ac:dyDescent="0.25">
      <c r="B1070" s="350"/>
      <c r="D1070" s="355"/>
      <c r="I1070" s="58"/>
      <c r="M1070" s="27"/>
      <c r="N1070" s="27"/>
      <c r="O1070" s="27"/>
      <c r="P1070" s="27"/>
      <c r="Q1070" s="27"/>
      <c r="R1070" s="27"/>
    </row>
    <row r="1071" spans="2:18" s="25" customFormat="1" x14ac:dyDescent="0.25">
      <c r="B1071" s="350"/>
      <c r="D1071" s="355"/>
      <c r="I1071" s="58"/>
      <c r="M1071" s="27"/>
      <c r="N1071" s="27"/>
      <c r="O1071" s="27"/>
      <c r="P1071" s="27"/>
      <c r="Q1071" s="27"/>
      <c r="R1071" s="27"/>
    </row>
    <row r="1072" spans="2:18" s="25" customFormat="1" x14ac:dyDescent="0.25">
      <c r="B1072" s="350"/>
      <c r="D1072" s="355"/>
      <c r="I1072" s="58"/>
      <c r="M1072" s="27"/>
      <c r="N1072" s="27"/>
      <c r="O1072" s="27"/>
      <c r="P1072" s="27"/>
      <c r="Q1072" s="27"/>
      <c r="R1072" s="27"/>
    </row>
    <row r="1073" spans="2:18" s="25" customFormat="1" x14ac:dyDescent="0.25">
      <c r="B1073" s="350"/>
      <c r="D1073" s="355"/>
      <c r="I1073" s="58"/>
      <c r="M1073" s="27"/>
      <c r="N1073" s="27"/>
      <c r="O1073" s="27"/>
      <c r="P1073" s="27"/>
      <c r="Q1073" s="27"/>
      <c r="R1073" s="27"/>
    </row>
    <row r="1074" spans="2:18" s="25" customFormat="1" x14ac:dyDescent="0.25">
      <c r="B1074" s="350"/>
      <c r="D1074" s="355"/>
      <c r="I1074" s="58"/>
      <c r="M1074" s="27"/>
      <c r="N1074" s="27"/>
      <c r="O1074" s="27"/>
      <c r="P1074" s="27"/>
      <c r="Q1074" s="27"/>
      <c r="R1074" s="27"/>
    </row>
    <row r="1075" spans="2:18" s="25" customFormat="1" x14ac:dyDescent="0.25">
      <c r="B1075" s="350"/>
      <c r="D1075" s="355"/>
      <c r="I1075" s="58"/>
      <c r="M1075" s="27"/>
      <c r="N1075" s="27"/>
      <c r="O1075" s="27"/>
      <c r="P1075" s="27"/>
      <c r="Q1075" s="27"/>
      <c r="R1075" s="27"/>
    </row>
    <row r="1076" spans="2:18" s="25" customFormat="1" x14ac:dyDescent="0.25">
      <c r="B1076" s="350"/>
      <c r="D1076" s="355"/>
      <c r="I1076" s="58"/>
      <c r="M1076" s="27"/>
      <c r="N1076" s="27"/>
      <c r="O1076" s="27"/>
      <c r="P1076" s="27"/>
      <c r="Q1076" s="27"/>
      <c r="R1076" s="27"/>
    </row>
    <row r="1077" spans="2:18" s="25" customFormat="1" x14ac:dyDescent="0.25">
      <c r="B1077" s="350"/>
      <c r="D1077" s="355"/>
      <c r="I1077" s="58"/>
      <c r="M1077" s="27"/>
      <c r="N1077" s="27"/>
      <c r="O1077" s="27"/>
      <c r="P1077" s="27"/>
      <c r="Q1077" s="27"/>
      <c r="R1077" s="27"/>
    </row>
    <row r="1078" spans="2:18" s="25" customFormat="1" x14ac:dyDescent="0.25">
      <c r="B1078" s="350"/>
      <c r="D1078" s="355"/>
      <c r="I1078" s="58"/>
      <c r="M1078" s="27"/>
      <c r="N1078" s="27"/>
      <c r="O1078" s="27"/>
      <c r="P1078" s="27"/>
      <c r="Q1078" s="27"/>
      <c r="R1078" s="27"/>
    </row>
    <row r="1079" spans="2:18" s="25" customFormat="1" x14ac:dyDescent="0.25">
      <c r="B1079" s="350"/>
      <c r="D1079" s="355"/>
      <c r="I1079" s="58"/>
      <c r="M1079" s="27"/>
      <c r="N1079" s="27"/>
      <c r="O1079" s="27"/>
      <c r="P1079" s="27"/>
      <c r="Q1079" s="27"/>
      <c r="R1079" s="27"/>
    </row>
    <row r="1080" spans="2:18" s="25" customFormat="1" x14ac:dyDescent="0.25">
      <c r="B1080" s="350"/>
      <c r="D1080" s="355"/>
      <c r="I1080" s="58"/>
      <c r="M1080" s="27"/>
      <c r="N1080" s="27"/>
      <c r="O1080" s="27"/>
      <c r="P1080" s="27"/>
      <c r="Q1080" s="27"/>
      <c r="R1080" s="27"/>
    </row>
    <row r="1081" spans="2:18" s="25" customFormat="1" x14ac:dyDescent="0.25">
      <c r="B1081" s="350"/>
      <c r="D1081" s="355"/>
      <c r="I1081" s="58"/>
      <c r="M1081" s="27"/>
      <c r="N1081" s="27"/>
      <c r="O1081" s="27"/>
      <c r="P1081" s="27"/>
      <c r="Q1081" s="27"/>
      <c r="R1081" s="27"/>
    </row>
    <row r="1082" spans="2:18" s="25" customFormat="1" x14ac:dyDescent="0.25">
      <c r="B1082" s="350"/>
      <c r="D1082" s="355"/>
      <c r="I1082" s="58"/>
      <c r="M1082" s="27"/>
      <c r="N1082" s="27"/>
      <c r="O1082" s="27"/>
      <c r="P1082" s="27"/>
      <c r="Q1082" s="27"/>
      <c r="R1082" s="27"/>
    </row>
    <row r="1083" spans="2:18" s="25" customFormat="1" x14ac:dyDescent="0.25">
      <c r="B1083" s="350"/>
      <c r="D1083" s="355"/>
      <c r="I1083" s="58"/>
      <c r="M1083" s="27"/>
      <c r="N1083" s="27"/>
      <c r="O1083" s="27"/>
      <c r="P1083" s="27"/>
      <c r="Q1083" s="27"/>
      <c r="R1083" s="27"/>
    </row>
    <row r="1084" spans="2:18" s="25" customFormat="1" x14ac:dyDescent="0.25">
      <c r="B1084" s="350"/>
      <c r="D1084" s="355"/>
      <c r="I1084" s="58"/>
      <c r="M1084" s="27"/>
      <c r="N1084" s="27"/>
      <c r="O1084" s="27"/>
      <c r="P1084" s="27"/>
      <c r="Q1084" s="27"/>
      <c r="R1084" s="27"/>
    </row>
    <row r="1085" spans="2:18" s="25" customFormat="1" x14ac:dyDescent="0.25">
      <c r="B1085" s="350"/>
      <c r="D1085" s="355"/>
      <c r="I1085" s="58"/>
      <c r="M1085" s="27"/>
      <c r="N1085" s="27"/>
      <c r="O1085" s="27"/>
      <c r="P1085" s="27"/>
      <c r="Q1085" s="27"/>
      <c r="R1085" s="27"/>
    </row>
    <row r="1086" spans="2:18" s="25" customFormat="1" x14ac:dyDescent="0.25">
      <c r="B1086" s="350"/>
      <c r="D1086" s="355"/>
      <c r="I1086" s="58"/>
      <c r="M1086" s="27"/>
      <c r="N1086" s="27"/>
      <c r="O1086" s="27"/>
      <c r="P1086" s="27"/>
      <c r="Q1086" s="27"/>
      <c r="R1086" s="27"/>
    </row>
    <row r="1087" spans="2:18" s="25" customFormat="1" x14ac:dyDescent="0.25">
      <c r="B1087" s="350"/>
      <c r="D1087" s="355"/>
      <c r="I1087" s="58"/>
      <c r="M1087" s="27"/>
      <c r="N1087" s="27"/>
      <c r="O1087" s="27"/>
      <c r="P1087" s="27"/>
      <c r="Q1087" s="27"/>
      <c r="R1087" s="27"/>
    </row>
    <row r="1088" spans="2:18" s="25" customFormat="1" x14ac:dyDescent="0.25">
      <c r="B1088" s="350"/>
      <c r="D1088" s="355"/>
      <c r="I1088" s="58"/>
      <c r="M1088" s="27"/>
      <c r="N1088" s="27"/>
      <c r="O1088" s="27"/>
      <c r="P1088" s="27"/>
      <c r="Q1088" s="27"/>
      <c r="R1088" s="27"/>
    </row>
    <row r="1089" spans="2:18" s="25" customFormat="1" x14ac:dyDescent="0.25">
      <c r="B1089" s="350"/>
      <c r="D1089" s="355"/>
      <c r="I1089" s="58"/>
      <c r="M1089" s="27"/>
      <c r="N1089" s="27"/>
      <c r="O1089" s="27"/>
      <c r="P1089" s="27"/>
      <c r="Q1089" s="27"/>
      <c r="R1089" s="27"/>
    </row>
    <row r="1090" spans="2:18" s="25" customFormat="1" x14ac:dyDescent="0.25">
      <c r="B1090" s="350"/>
      <c r="D1090" s="355"/>
      <c r="I1090" s="58"/>
      <c r="M1090" s="27"/>
      <c r="N1090" s="27"/>
      <c r="O1090" s="27"/>
      <c r="P1090" s="27"/>
      <c r="Q1090" s="27"/>
      <c r="R1090" s="27"/>
    </row>
    <row r="1091" spans="2:18" s="25" customFormat="1" x14ac:dyDescent="0.25">
      <c r="B1091" s="350"/>
      <c r="D1091" s="355"/>
      <c r="I1091" s="58"/>
      <c r="M1091" s="27"/>
      <c r="N1091" s="27"/>
      <c r="O1091" s="27"/>
      <c r="P1091" s="27"/>
      <c r="Q1091" s="27"/>
      <c r="R1091" s="27"/>
    </row>
    <row r="1092" spans="2:18" s="25" customFormat="1" x14ac:dyDescent="0.25">
      <c r="B1092" s="350"/>
      <c r="D1092" s="355"/>
      <c r="I1092" s="58"/>
      <c r="M1092" s="27"/>
      <c r="N1092" s="27"/>
      <c r="O1092" s="27"/>
      <c r="P1092" s="27"/>
      <c r="Q1092" s="27"/>
      <c r="R1092" s="27"/>
    </row>
    <row r="1093" spans="2:18" s="25" customFormat="1" x14ac:dyDescent="0.25">
      <c r="B1093" s="350"/>
      <c r="D1093" s="355"/>
      <c r="I1093" s="58"/>
      <c r="M1093" s="27"/>
      <c r="N1093" s="27"/>
      <c r="O1093" s="27"/>
      <c r="P1093" s="27"/>
      <c r="Q1093" s="27"/>
      <c r="R1093" s="27"/>
    </row>
    <row r="1094" spans="2:18" s="25" customFormat="1" x14ac:dyDescent="0.25">
      <c r="B1094" s="350"/>
      <c r="D1094" s="355"/>
      <c r="I1094" s="58"/>
      <c r="M1094" s="27"/>
      <c r="N1094" s="27"/>
      <c r="O1094" s="27"/>
      <c r="P1094" s="27"/>
      <c r="Q1094" s="27"/>
      <c r="R1094" s="27"/>
    </row>
    <row r="1095" spans="2:18" s="25" customFormat="1" x14ac:dyDescent="0.25">
      <c r="B1095" s="350"/>
      <c r="D1095" s="355"/>
      <c r="I1095" s="58"/>
      <c r="M1095" s="27"/>
      <c r="N1095" s="27"/>
      <c r="O1095" s="27"/>
      <c r="P1095" s="27"/>
      <c r="Q1095" s="27"/>
      <c r="R1095" s="27"/>
    </row>
    <row r="1096" spans="2:18" s="25" customFormat="1" x14ac:dyDescent="0.25">
      <c r="B1096" s="350"/>
      <c r="D1096" s="355"/>
      <c r="I1096" s="58"/>
      <c r="M1096" s="27"/>
      <c r="N1096" s="27"/>
      <c r="O1096" s="27"/>
      <c r="P1096" s="27"/>
      <c r="Q1096" s="27"/>
      <c r="R1096" s="27"/>
    </row>
    <row r="1097" spans="2:18" s="25" customFormat="1" x14ac:dyDescent="0.25">
      <c r="B1097" s="350"/>
      <c r="D1097" s="355"/>
      <c r="I1097" s="58"/>
      <c r="M1097" s="27"/>
      <c r="N1097" s="27"/>
      <c r="O1097" s="27"/>
      <c r="P1097" s="27"/>
      <c r="Q1097" s="27"/>
      <c r="R1097" s="27"/>
    </row>
    <row r="1098" spans="2:18" s="25" customFormat="1" x14ac:dyDescent="0.25">
      <c r="B1098" s="350"/>
      <c r="D1098" s="355"/>
      <c r="I1098" s="58"/>
      <c r="M1098" s="27"/>
      <c r="N1098" s="27"/>
      <c r="O1098" s="27"/>
      <c r="P1098" s="27"/>
      <c r="Q1098" s="27"/>
      <c r="R1098" s="27"/>
    </row>
    <row r="1099" spans="2:18" s="25" customFormat="1" x14ac:dyDescent="0.25">
      <c r="B1099" s="350"/>
      <c r="D1099" s="355"/>
      <c r="I1099" s="58"/>
      <c r="M1099" s="27"/>
      <c r="N1099" s="27"/>
      <c r="O1099" s="27"/>
      <c r="P1099" s="27"/>
      <c r="Q1099" s="27"/>
      <c r="R1099" s="27"/>
    </row>
    <row r="1100" spans="2:18" s="25" customFormat="1" x14ac:dyDescent="0.25">
      <c r="B1100" s="350"/>
      <c r="D1100" s="355"/>
      <c r="I1100" s="58"/>
      <c r="M1100" s="27"/>
      <c r="N1100" s="27"/>
      <c r="O1100" s="27"/>
      <c r="P1100" s="27"/>
      <c r="Q1100" s="27"/>
      <c r="R1100" s="27"/>
    </row>
    <row r="1101" spans="2:18" s="25" customFormat="1" x14ac:dyDescent="0.25">
      <c r="B1101" s="350"/>
      <c r="D1101" s="355"/>
      <c r="I1101" s="58"/>
      <c r="M1101" s="27"/>
      <c r="N1101" s="27"/>
      <c r="O1101" s="27"/>
      <c r="P1101" s="27"/>
      <c r="Q1101" s="27"/>
      <c r="R1101" s="27"/>
    </row>
    <row r="1102" spans="2:18" s="25" customFormat="1" x14ac:dyDescent="0.25">
      <c r="B1102" s="350"/>
      <c r="D1102" s="355"/>
      <c r="I1102" s="58"/>
      <c r="M1102" s="27"/>
      <c r="N1102" s="27"/>
      <c r="O1102" s="27"/>
      <c r="P1102" s="27"/>
      <c r="Q1102" s="27"/>
      <c r="R1102" s="27"/>
    </row>
    <row r="1103" spans="2:18" s="25" customFormat="1" x14ac:dyDescent="0.25">
      <c r="B1103" s="350"/>
      <c r="D1103" s="355"/>
      <c r="I1103" s="58"/>
      <c r="M1103" s="27"/>
      <c r="N1103" s="27"/>
      <c r="O1103" s="27"/>
      <c r="P1103" s="27"/>
      <c r="Q1103" s="27"/>
      <c r="R1103" s="27"/>
    </row>
    <row r="1104" spans="2:18" s="25" customFormat="1" x14ac:dyDescent="0.25">
      <c r="B1104" s="350"/>
      <c r="D1104" s="355"/>
      <c r="I1104" s="58"/>
      <c r="M1104" s="27"/>
      <c r="N1104" s="27"/>
      <c r="O1104" s="27"/>
      <c r="P1104" s="27"/>
      <c r="Q1104" s="27"/>
      <c r="R1104" s="27"/>
    </row>
    <row r="1105" spans="2:18" s="25" customFormat="1" x14ac:dyDescent="0.25">
      <c r="B1105" s="350"/>
      <c r="D1105" s="355"/>
      <c r="I1105" s="58"/>
      <c r="M1105" s="27"/>
      <c r="N1105" s="27"/>
      <c r="O1105" s="27"/>
      <c r="P1105" s="27"/>
      <c r="Q1105" s="27"/>
      <c r="R1105" s="27"/>
    </row>
    <row r="1106" spans="2:18" s="25" customFormat="1" x14ac:dyDescent="0.25">
      <c r="B1106" s="350"/>
      <c r="D1106" s="355"/>
      <c r="I1106" s="58"/>
      <c r="M1106" s="27"/>
      <c r="N1106" s="27"/>
      <c r="O1106" s="27"/>
      <c r="P1106" s="27"/>
      <c r="Q1106" s="27"/>
      <c r="R1106" s="27"/>
    </row>
    <row r="1107" spans="2:18" s="25" customFormat="1" x14ac:dyDescent="0.25">
      <c r="B1107" s="350"/>
      <c r="D1107" s="355"/>
      <c r="I1107" s="58"/>
      <c r="M1107" s="27"/>
      <c r="N1107" s="27"/>
      <c r="O1107" s="27"/>
      <c r="P1107" s="27"/>
      <c r="Q1107" s="27"/>
      <c r="R1107" s="27"/>
    </row>
    <row r="1108" spans="2:18" s="25" customFormat="1" x14ac:dyDescent="0.25">
      <c r="B1108" s="350"/>
      <c r="D1108" s="355"/>
      <c r="I1108" s="58"/>
      <c r="M1108" s="27"/>
      <c r="N1108" s="27"/>
      <c r="O1108" s="27"/>
      <c r="P1108" s="27"/>
      <c r="Q1108" s="27"/>
      <c r="R1108" s="27"/>
    </row>
    <row r="1109" spans="2:18" s="25" customFormat="1" x14ac:dyDescent="0.25">
      <c r="B1109" s="350"/>
      <c r="D1109" s="355"/>
      <c r="I1109" s="58"/>
      <c r="M1109" s="27"/>
      <c r="N1109" s="27"/>
      <c r="O1109" s="27"/>
      <c r="P1109" s="27"/>
      <c r="Q1109" s="27"/>
      <c r="R1109" s="27"/>
    </row>
    <row r="1110" spans="2:18" s="25" customFormat="1" x14ac:dyDescent="0.25">
      <c r="B1110" s="350"/>
      <c r="D1110" s="355"/>
      <c r="I1110" s="58"/>
      <c r="M1110" s="27"/>
      <c r="N1110" s="27"/>
      <c r="O1110" s="27"/>
      <c r="P1110" s="27"/>
      <c r="Q1110" s="27"/>
      <c r="R1110" s="27"/>
    </row>
    <row r="1111" spans="2:18" s="25" customFormat="1" x14ac:dyDescent="0.25">
      <c r="B1111" s="350"/>
      <c r="D1111" s="355"/>
      <c r="I1111" s="58"/>
      <c r="M1111" s="27"/>
      <c r="N1111" s="27"/>
      <c r="O1111" s="27"/>
      <c r="P1111" s="27"/>
      <c r="Q1111" s="27"/>
      <c r="R1111" s="27"/>
    </row>
    <row r="1112" spans="2:18" s="25" customFormat="1" x14ac:dyDescent="0.25">
      <c r="B1112" s="350"/>
      <c r="D1112" s="355"/>
      <c r="I1112" s="58"/>
      <c r="M1112" s="27"/>
      <c r="N1112" s="27"/>
      <c r="O1112" s="27"/>
      <c r="P1112" s="27"/>
      <c r="Q1112" s="27"/>
      <c r="R1112" s="27"/>
    </row>
    <row r="1113" spans="2:18" s="25" customFormat="1" x14ac:dyDescent="0.25">
      <c r="B1113" s="350"/>
      <c r="D1113" s="355"/>
      <c r="I1113" s="58"/>
      <c r="M1113" s="27"/>
      <c r="N1113" s="27"/>
      <c r="O1113" s="27"/>
      <c r="P1113" s="27"/>
      <c r="Q1113" s="27"/>
      <c r="R1113" s="27"/>
    </row>
    <row r="1114" spans="2:18" s="25" customFormat="1" x14ac:dyDescent="0.25">
      <c r="B1114" s="350"/>
      <c r="D1114" s="355"/>
      <c r="I1114" s="58"/>
      <c r="M1114" s="27"/>
      <c r="N1114" s="27"/>
      <c r="O1114" s="27"/>
      <c r="P1114" s="27"/>
      <c r="Q1114" s="27"/>
      <c r="R1114" s="27"/>
    </row>
    <row r="1115" spans="2:18" s="25" customFormat="1" x14ac:dyDescent="0.25">
      <c r="B1115" s="350"/>
      <c r="D1115" s="355"/>
      <c r="I1115" s="58"/>
      <c r="M1115" s="27"/>
      <c r="N1115" s="27"/>
      <c r="O1115" s="27"/>
      <c r="P1115" s="27"/>
      <c r="Q1115" s="27"/>
      <c r="R1115" s="27"/>
    </row>
    <row r="1116" spans="2:18" s="25" customFormat="1" x14ac:dyDescent="0.25">
      <c r="B1116" s="350"/>
      <c r="D1116" s="355"/>
      <c r="I1116" s="58"/>
      <c r="M1116" s="27"/>
      <c r="N1116" s="27"/>
      <c r="O1116" s="27"/>
      <c r="P1116" s="27"/>
      <c r="Q1116" s="27"/>
      <c r="R1116" s="27"/>
    </row>
    <row r="1117" spans="2:18" s="25" customFormat="1" x14ac:dyDescent="0.25">
      <c r="B1117" s="350"/>
      <c r="D1117" s="355"/>
      <c r="I1117" s="58"/>
      <c r="M1117" s="27"/>
      <c r="N1117" s="27"/>
      <c r="O1117" s="27"/>
      <c r="P1117" s="27"/>
      <c r="Q1117" s="27"/>
      <c r="R1117" s="27"/>
    </row>
    <row r="1118" spans="2:18" s="25" customFormat="1" x14ac:dyDescent="0.25">
      <c r="B1118" s="350"/>
      <c r="D1118" s="355"/>
      <c r="I1118" s="58"/>
      <c r="M1118" s="27"/>
      <c r="N1118" s="27"/>
      <c r="O1118" s="27"/>
      <c r="P1118" s="27"/>
      <c r="Q1118" s="27"/>
      <c r="R1118" s="27"/>
    </row>
    <row r="1119" spans="2:18" s="25" customFormat="1" x14ac:dyDescent="0.25">
      <c r="B1119" s="350"/>
      <c r="D1119" s="355"/>
      <c r="I1119" s="58"/>
      <c r="M1119" s="27"/>
      <c r="N1119" s="27"/>
      <c r="O1119" s="27"/>
      <c r="P1119" s="27"/>
      <c r="Q1119" s="27"/>
      <c r="R1119" s="27"/>
    </row>
    <row r="1120" spans="2:18" s="25" customFormat="1" x14ac:dyDescent="0.25">
      <c r="B1120" s="350"/>
      <c r="D1120" s="355"/>
      <c r="I1120" s="58"/>
      <c r="M1120" s="27"/>
      <c r="N1120" s="27"/>
      <c r="O1120" s="27"/>
      <c r="P1120" s="27"/>
      <c r="Q1120" s="27"/>
      <c r="R1120" s="27"/>
    </row>
    <row r="1121" spans="2:18" s="25" customFormat="1" x14ac:dyDescent="0.25">
      <c r="B1121" s="350"/>
      <c r="D1121" s="355"/>
      <c r="I1121" s="58"/>
      <c r="M1121" s="27"/>
      <c r="N1121" s="27"/>
      <c r="O1121" s="27"/>
      <c r="P1121" s="27"/>
      <c r="Q1121" s="27"/>
      <c r="R1121" s="27"/>
    </row>
    <row r="1122" spans="2:18" s="25" customFormat="1" x14ac:dyDescent="0.25">
      <c r="B1122" s="350"/>
      <c r="D1122" s="355"/>
      <c r="I1122" s="58"/>
      <c r="M1122" s="27"/>
      <c r="N1122" s="27"/>
      <c r="O1122" s="27"/>
      <c r="P1122" s="27"/>
      <c r="Q1122" s="27"/>
      <c r="R1122" s="27"/>
    </row>
    <row r="1123" spans="2:18" s="25" customFormat="1" x14ac:dyDescent="0.25">
      <c r="B1123" s="350"/>
      <c r="D1123" s="355"/>
      <c r="I1123" s="58"/>
      <c r="M1123" s="27"/>
      <c r="N1123" s="27"/>
      <c r="O1123" s="27"/>
      <c r="P1123" s="27"/>
      <c r="Q1123" s="27"/>
      <c r="R1123" s="27"/>
    </row>
    <row r="1124" spans="2:18" s="25" customFormat="1" x14ac:dyDescent="0.25">
      <c r="B1124" s="350"/>
      <c r="D1124" s="355"/>
      <c r="I1124" s="58"/>
      <c r="M1124" s="27"/>
      <c r="N1124" s="27"/>
      <c r="O1124" s="27"/>
      <c r="P1124" s="27"/>
      <c r="Q1124" s="27"/>
      <c r="R1124" s="27"/>
    </row>
    <row r="1125" spans="2:18" s="25" customFormat="1" x14ac:dyDescent="0.25">
      <c r="B1125" s="350"/>
      <c r="D1125" s="355"/>
      <c r="I1125" s="58"/>
      <c r="M1125" s="27"/>
      <c r="N1125" s="27"/>
      <c r="O1125" s="27"/>
      <c r="P1125" s="27"/>
      <c r="Q1125" s="27"/>
      <c r="R1125" s="27"/>
    </row>
    <row r="1126" spans="2:18" s="25" customFormat="1" x14ac:dyDescent="0.25">
      <c r="B1126" s="350"/>
      <c r="D1126" s="355"/>
      <c r="I1126" s="58"/>
      <c r="M1126" s="27"/>
      <c r="N1126" s="27"/>
      <c r="O1126" s="27"/>
      <c r="P1126" s="27"/>
      <c r="Q1126" s="27"/>
      <c r="R1126" s="27"/>
    </row>
    <row r="1127" spans="2:18" s="25" customFormat="1" x14ac:dyDescent="0.25">
      <c r="B1127" s="350"/>
      <c r="D1127" s="355"/>
      <c r="I1127" s="58"/>
      <c r="M1127" s="27"/>
      <c r="N1127" s="27"/>
      <c r="O1127" s="27"/>
      <c r="P1127" s="27"/>
      <c r="Q1127" s="27"/>
      <c r="R1127" s="27"/>
    </row>
    <row r="1128" spans="2:18" s="25" customFormat="1" x14ac:dyDescent="0.25">
      <c r="B1128" s="350"/>
      <c r="D1128" s="355"/>
      <c r="I1128" s="58"/>
      <c r="M1128" s="27"/>
      <c r="N1128" s="27"/>
      <c r="O1128" s="27"/>
      <c r="P1128" s="27"/>
      <c r="Q1128" s="27"/>
      <c r="R1128" s="27"/>
    </row>
    <row r="1129" spans="2:18" s="25" customFormat="1" x14ac:dyDescent="0.25">
      <c r="B1129" s="350"/>
      <c r="D1129" s="355"/>
      <c r="I1129" s="58"/>
      <c r="M1129" s="27"/>
      <c r="N1129" s="27"/>
      <c r="O1129" s="27"/>
      <c r="P1129" s="27"/>
      <c r="Q1129" s="27"/>
      <c r="R1129" s="27"/>
    </row>
    <row r="1130" spans="2:18" s="25" customFormat="1" x14ac:dyDescent="0.25">
      <c r="B1130" s="350"/>
      <c r="D1130" s="355"/>
      <c r="I1130" s="58"/>
      <c r="M1130" s="27"/>
      <c r="N1130" s="27"/>
      <c r="O1130" s="27"/>
      <c r="P1130" s="27"/>
      <c r="Q1130" s="27"/>
      <c r="R1130" s="27"/>
    </row>
    <row r="1131" spans="2:18" s="25" customFormat="1" x14ac:dyDescent="0.25">
      <c r="B1131" s="350"/>
      <c r="D1131" s="355"/>
      <c r="I1131" s="58"/>
      <c r="M1131" s="27"/>
      <c r="N1131" s="27"/>
      <c r="O1131" s="27"/>
      <c r="P1131" s="27"/>
      <c r="Q1131" s="27"/>
      <c r="R1131" s="27"/>
    </row>
    <row r="1132" spans="2:18" s="25" customFormat="1" x14ac:dyDescent="0.25">
      <c r="B1132" s="350"/>
      <c r="D1132" s="355"/>
      <c r="I1132" s="58"/>
      <c r="M1132" s="27"/>
      <c r="N1132" s="27"/>
      <c r="O1132" s="27"/>
      <c r="P1132" s="27"/>
      <c r="Q1132" s="27"/>
      <c r="R1132" s="27"/>
    </row>
    <row r="1133" spans="2:18" s="25" customFormat="1" x14ac:dyDescent="0.25">
      <c r="B1133" s="350"/>
      <c r="D1133" s="355"/>
      <c r="I1133" s="58"/>
      <c r="M1133" s="27"/>
      <c r="N1133" s="27"/>
      <c r="O1133" s="27"/>
      <c r="P1133" s="27"/>
      <c r="Q1133" s="27"/>
      <c r="R1133" s="27"/>
    </row>
    <row r="1134" spans="2:18" s="25" customFormat="1" x14ac:dyDescent="0.25">
      <c r="B1134" s="350"/>
      <c r="D1134" s="355"/>
      <c r="I1134" s="58"/>
      <c r="M1134" s="27"/>
      <c r="N1134" s="27"/>
      <c r="O1134" s="27"/>
      <c r="P1134" s="27"/>
      <c r="Q1134" s="27"/>
      <c r="R1134" s="27"/>
    </row>
    <row r="1135" spans="2:18" s="25" customFormat="1" x14ac:dyDescent="0.25">
      <c r="B1135" s="350"/>
      <c r="D1135" s="355"/>
      <c r="I1135" s="58"/>
      <c r="M1135" s="27"/>
      <c r="N1135" s="27"/>
      <c r="O1135" s="27"/>
      <c r="P1135" s="27"/>
      <c r="Q1135" s="27"/>
      <c r="R1135" s="27"/>
    </row>
    <row r="1136" spans="2:18" s="25" customFormat="1" x14ac:dyDescent="0.25">
      <c r="B1136" s="350"/>
      <c r="D1136" s="355"/>
      <c r="I1136" s="58"/>
      <c r="M1136" s="27"/>
      <c r="N1136" s="27"/>
      <c r="O1136" s="27"/>
      <c r="P1136" s="27"/>
      <c r="Q1136" s="27"/>
      <c r="R1136" s="27"/>
    </row>
    <row r="1137" spans="2:18" s="25" customFormat="1" x14ac:dyDescent="0.25">
      <c r="B1137" s="350"/>
      <c r="D1137" s="355"/>
      <c r="I1137" s="58"/>
      <c r="M1137" s="27"/>
      <c r="N1137" s="27"/>
      <c r="O1137" s="27"/>
      <c r="P1137" s="27"/>
      <c r="Q1137" s="27"/>
      <c r="R1137" s="27"/>
    </row>
    <row r="1138" spans="2:18" s="25" customFormat="1" x14ac:dyDescent="0.25">
      <c r="B1138" s="350"/>
      <c r="D1138" s="355"/>
      <c r="I1138" s="58"/>
      <c r="M1138" s="27"/>
      <c r="N1138" s="27"/>
      <c r="O1138" s="27"/>
      <c r="P1138" s="27"/>
      <c r="Q1138" s="27"/>
      <c r="R1138" s="27"/>
    </row>
    <row r="1139" spans="2:18" s="25" customFormat="1" x14ac:dyDescent="0.25">
      <c r="B1139" s="350"/>
      <c r="D1139" s="355"/>
      <c r="I1139" s="58"/>
      <c r="M1139" s="27"/>
      <c r="N1139" s="27"/>
      <c r="O1139" s="27"/>
      <c r="P1139" s="27"/>
      <c r="Q1139" s="27"/>
      <c r="R1139" s="27"/>
    </row>
    <row r="1140" spans="2:18" s="25" customFormat="1" x14ac:dyDescent="0.25">
      <c r="B1140" s="350"/>
      <c r="D1140" s="355"/>
      <c r="I1140" s="58"/>
      <c r="M1140" s="27"/>
      <c r="N1140" s="27"/>
      <c r="O1140" s="27"/>
      <c r="P1140" s="27"/>
      <c r="Q1140" s="27"/>
      <c r="R1140" s="27"/>
    </row>
    <row r="1141" spans="2:18" s="25" customFormat="1" x14ac:dyDescent="0.25">
      <c r="B1141" s="350"/>
      <c r="D1141" s="355"/>
      <c r="I1141" s="58"/>
      <c r="M1141" s="27"/>
      <c r="N1141" s="27"/>
      <c r="O1141" s="27"/>
      <c r="P1141" s="27"/>
      <c r="Q1141" s="27"/>
      <c r="R1141" s="27"/>
    </row>
    <row r="1142" spans="2:18" s="25" customFormat="1" x14ac:dyDescent="0.25">
      <c r="B1142" s="350"/>
      <c r="D1142" s="355"/>
      <c r="I1142" s="58"/>
      <c r="M1142" s="27"/>
      <c r="N1142" s="27"/>
      <c r="O1142" s="27"/>
      <c r="P1142" s="27"/>
      <c r="Q1142" s="27"/>
      <c r="R1142" s="27"/>
    </row>
    <row r="1143" spans="2:18" s="25" customFormat="1" x14ac:dyDescent="0.25">
      <c r="B1143" s="350"/>
      <c r="D1143" s="355"/>
      <c r="I1143" s="58"/>
      <c r="M1143" s="27"/>
      <c r="N1143" s="27"/>
      <c r="O1143" s="27"/>
      <c r="P1143" s="27"/>
      <c r="Q1143" s="27"/>
      <c r="R1143" s="27"/>
    </row>
    <row r="1144" spans="2:18" s="25" customFormat="1" x14ac:dyDescent="0.25">
      <c r="B1144" s="350"/>
      <c r="D1144" s="355"/>
      <c r="I1144" s="58"/>
      <c r="M1144" s="27"/>
      <c r="N1144" s="27"/>
      <c r="O1144" s="27"/>
      <c r="P1144" s="27"/>
      <c r="Q1144" s="27"/>
      <c r="R1144" s="27"/>
    </row>
    <row r="1145" spans="2:18" s="25" customFormat="1" x14ac:dyDescent="0.25">
      <c r="B1145" s="350"/>
      <c r="D1145" s="355"/>
      <c r="I1145" s="58"/>
      <c r="M1145" s="27"/>
      <c r="N1145" s="27"/>
      <c r="O1145" s="27"/>
      <c r="P1145" s="27"/>
      <c r="Q1145" s="27"/>
      <c r="R1145" s="27"/>
    </row>
    <row r="1146" spans="2:18" s="25" customFormat="1" x14ac:dyDescent="0.25">
      <c r="B1146" s="350"/>
      <c r="D1146" s="355"/>
      <c r="I1146" s="58"/>
      <c r="M1146" s="27"/>
      <c r="N1146" s="27"/>
      <c r="O1146" s="27"/>
      <c r="P1146" s="27"/>
      <c r="Q1146" s="27"/>
      <c r="R1146" s="27"/>
    </row>
    <row r="1147" spans="2:18" s="25" customFormat="1" x14ac:dyDescent="0.25">
      <c r="B1147" s="350"/>
      <c r="D1147" s="355"/>
      <c r="I1147" s="58"/>
      <c r="M1147" s="27"/>
      <c r="N1147" s="27"/>
      <c r="O1147" s="27"/>
      <c r="P1147" s="27"/>
      <c r="Q1147" s="27"/>
      <c r="R1147" s="27"/>
    </row>
    <row r="1148" spans="2:18" s="25" customFormat="1" x14ac:dyDescent="0.25">
      <c r="B1148" s="350"/>
      <c r="D1148" s="355"/>
      <c r="I1148" s="58"/>
      <c r="M1148" s="27"/>
      <c r="N1148" s="27"/>
      <c r="O1148" s="27"/>
      <c r="P1148" s="27"/>
      <c r="Q1148" s="27"/>
      <c r="R1148" s="27"/>
    </row>
    <row r="1149" spans="2:18" s="25" customFormat="1" x14ac:dyDescent="0.25">
      <c r="B1149" s="350"/>
      <c r="D1149" s="355"/>
      <c r="I1149" s="58"/>
      <c r="M1149" s="27"/>
      <c r="N1149" s="27"/>
      <c r="O1149" s="27"/>
      <c r="P1149" s="27"/>
      <c r="Q1149" s="27"/>
      <c r="R1149" s="27"/>
    </row>
    <row r="1150" spans="2:18" s="25" customFormat="1" x14ac:dyDescent="0.25">
      <c r="B1150" s="350"/>
      <c r="D1150" s="355"/>
      <c r="I1150" s="58"/>
      <c r="M1150" s="27"/>
      <c r="N1150" s="27"/>
      <c r="O1150" s="27"/>
      <c r="P1150" s="27"/>
      <c r="Q1150" s="27"/>
      <c r="R1150" s="27"/>
    </row>
    <row r="1151" spans="2:18" s="25" customFormat="1" x14ac:dyDescent="0.25">
      <c r="B1151" s="350"/>
      <c r="D1151" s="355"/>
      <c r="I1151" s="58"/>
      <c r="M1151" s="27"/>
      <c r="N1151" s="27"/>
      <c r="O1151" s="27"/>
      <c r="P1151" s="27"/>
      <c r="Q1151" s="27"/>
      <c r="R1151" s="27"/>
    </row>
    <row r="1152" spans="2:18" s="25" customFormat="1" x14ac:dyDescent="0.25">
      <c r="B1152" s="350"/>
      <c r="D1152" s="355"/>
      <c r="I1152" s="58"/>
      <c r="M1152" s="27"/>
      <c r="N1152" s="27"/>
      <c r="O1152" s="27"/>
      <c r="P1152" s="27"/>
      <c r="Q1152" s="27"/>
      <c r="R1152" s="27"/>
    </row>
    <row r="1153" spans="2:18" s="25" customFormat="1" x14ac:dyDescent="0.25">
      <c r="B1153" s="350"/>
      <c r="D1153" s="355"/>
      <c r="I1153" s="58"/>
      <c r="M1153" s="27"/>
      <c r="N1153" s="27"/>
      <c r="O1153" s="27"/>
      <c r="P1153" s="27"/>
      <c r="Q1153" s="27"/>
      <c r="R1153" s="27"/>
    </row>
    <row r="1154" spans="2:18" s="25" customFormat="1" x14ac:dyDescent="0.25">
      <c r="B1154" s="350"/>
      <c r="D1154" s="355"/>
      <c r="I1154" s="58"/>
      <c r="M1154" s="27"/>
      <c r="N1154" s="27"/>
      <c r="O1154" s="27"/>
      <c r="P1154" s="27"/>
      <c r="Q1154" s="27"/>
      <c r="R1154" s="27"/>
    </row>
    <row r="1155" spans="2:18" s="25" customFormat="1" x14ac:dyDescent="0.25">
      <c r="B1155" s="350"/>
      <c r="D1155" s="355"/>
      <c r="I1155" s="58"/>
      <c r="M1155" s="27"/>
      <c r="N1155" s="27"/>
      <c r="O1155" s="27"/>
      <c r="P1155" s="27"/>
      <c r="Q1155" s="27"/>
      <c r="R1155" s="27"/>
    </row>
    <row r="1156" spans="2:18" s="25" customFormat="1" x14ac:dyDescent="0.25">
      <c r="B1156" s="350"/>
      <c r="D1156" s="355"/>
      <c r="I1156" s="58"/>
      <c r="M1156" s="27"/>
      <c r="N1156" s="27"/>
      <c r="O1156" s="27"/>
      <c r="P1156" s="27"/>
      <c r="Q1156" s="27"/>
      <c r="R1156" s="27"/>
    </row>
    <row r="1157" spans="2:18" s="25" customFormat="1" x14ac:dyDescent="0.25">
      <c r="B1157" s="350"/>
      <c r="D1157" s="355"/>
      <c r="I1157" s="58"/>
      <c r="M1157" s="27"/>
      <c r="N1157" s="27"/>
      <c r="O1157" s="27"/>
      <c r="P1157" s="27"/>
      <c r="Q1157" s="27"/>
      <c r="R1157" s="27"/>
    </row>
    <row r="1158" spans="2:18" s="25" customFormat="1" x14ac:dyDescent="0.25">
      <c r="B1158" s="350"/>
      <c r="D1158" s="355"/>
      <c r="I1158" s="58"/>
      <c r="M1158" s="27"/>
      <c r="N1158" s="27"/>
      <c r="O1158" s="27"/>
      <c r="P1158" s="27"/>
      <c r="Q1158" s="27"/>
      <c r="R1158" s="27"/>
    </row>
    <row r="1159" spans="2:18" s="25" customFormat="1" x14ac:dyDescent="0.25">
      <c r="B1159" s="350"/>
      <c r="D1159" s="355"/>
      <c r="I1159" s="58"/>
      <c r="M1159" s="27"/>
      <c r="N1159" s="27"/>
      <c r="O1159" s="27"/>
      <c r="P1159" s="27"/>
      <c r="Q1159" s="27"/>
      <c r="R1159" s="27"/>
    </row>
    <row r="1160" spans="2:18" s="25" customFormat="1" x14ac:dyDescent="0.25">
      <c r="B1160" s="350"/>
      <c r="D1160" s="355"/>
      <c r="I1160" s="58"/>
      <c r="M1160" s="27"/>
      <c r="N1160" s="27"/>
      <c r="O1160" s="27"/>
      <c r="P1160" s="27"/>
      <c r="Q1160" s="27"/>
      <c r="R1160" s="27"/>
    </row>
    <row r="1161" spans="2:18" s="25" customFormat="1" x14ac:dyDescent="0.25">
      <c r="B1161" s="350"/>
      <c r="D1161" s="355"/>
      <c r="I1161" s="58"/>
      <c r="M1161" s="27"/>
      <c r="N1161" s="27"/>
      <c r="O1161" s="27"/>
      <c r="P1161" s="27"/>
      <c r="Q1161" s="27"/>
      <c r="R1161" s="27"/>
    </row>
    <row r="1162" spans="2:18" s="25" customFormat="1" x14ac:dyDescent="0.25">
      <c r="B1162" s="350"/>
      <c r="D1162" s="355"/>
      <c r="I1162" s="58"/>
      <c r="M1162" s="27"/>
      <c r="N1162" s="27"/>
      <c r="O1162" s="27"/>
      <c r="P1162" s="27"/>
      <c r="Q1162" s="27"/>
      <c r="R1162" s="27"/>
    </row>
    <row r="1163" spans="2:18" s="25" customFormat="1" x14ac:dyDescent="0.25">
      <c r="B1163" s="350"/>
      <c r="D1163" s="355"/>
      <c r="I1163" s="58"/>
      <c r="M1163" s="27"/>
      <c r="N1163" s="27"/>
      <c r="O1163" s="27"/>
      <c r="P1163" s="27"/>
      <c r="Q1163" s="27"/>
      <c r="R1163" s="27"/>
    </row>
    <row r="1164" spans="2:18" s="25" customFormat="1" x14ac:dyDescent="0.25">
      <c r="B1164" s="350"/>
      <c r="D1164" s="355"/>
      <c r="I1164" s="58"/>
      <c r="M1164" s="27"/>
      <c r="N1164" s="27"/>
      <c r="O1164" s="27"/>
      <c r="P1164" s="27"/>
      <c r="Q1164" s="27"/>
      <c r="R1164" s="27"/>
    </row>
    <row r="1165" spans="2:18" s="25" customFormat="1" x14ac:dyDescent="0.25">
      <c r="B1165" s="350"/>
      <c r="D1165" s="355"/>
      <c r="I1165" s="58"/>
      <c r="M1165" s="27"/>
      <c r="N1165" s="27"/>
      <c r="O1165" s="27"/>
      <c r="P1165" s="27"/>
      <c r="Q1165" s="27"/>
      <c r="R1165" s="27"/>
    </row>
    <row r="1166" spans="2:18" s="25" customFormat="1" x14ac:dyDescent="0.25">
      <c r="B1166" s="350"/>
      <c r="D1166" s="355"/>
      <c r="I1166" s="58"/>
      <c r="M1166" s="27"/>
      <c r="N1166" s="27"/>
      <c r="O1166" s="27"/>
      <c r="P1166" s="27"/>
      <c r="Q1166" s="27"/>
      <c r="R1166" s="27"/>
    </row>
    <row r="1167" spans="2:18" s="25" customFormat="1" x14ac:dyDescent="0.25">
      <c r="B1167" s="350"/>
      <c r="D1167" s="355"/>
      <c r="I1167" s="58"/>
      <c r="M1167" s="27"/>
      <c r="N1167" s="27"/>
      <c r="O1167" s="27"/>
      <c r="P1167" s="27"/>
      <c r="Q1167" s="27"/>
      <c r="R1167" s="27"/>
    </row>
    <row r="1168" spans="2:18" s="25" customFormat="1" x14ac:dyDescent="0.25">
      <c r="B1168" s="350"/>
      <c r="D1168" s="355"/>
      <c r="I1168" s="58"/>
      <c r="M1168" s="27"/>
      <c r="N1168" s="27"/>
      <c r="O1168" s="27"/>
      <c r="P1168" s="27"/>
      <c r="Q1168" s="27"/>
      <c r="R1168" s="27"/>
    </row>
    <row r="1169" spans="2:18" s="25" customFormat="1" x14ac:dyDescent="0.25">
      <c r="B1169" s="350"/>
      <c r="D1169" s="355"/>
      <c r="I1169" s="58"/>
      <c r="M1169" s="27"/>
      <c r="N1169" s="27"/>
      <c r="O1169" s="27"/>
      <c r="P1169" s="27"/>
      <c r="Q1169" s="27"/>
      <c r="R1169" s="27"/>
    </row>
    <row r="1170" spans="2:18" s="25" customFormat="1" x14ac:dyDescent="0.25">
      <c r="B1170" s="350"/>
      <c r="D1170" s="355"/>
      <c r="I1170" s="58"/>
      <c r="M1170" s="27"/>
      <c r="N1170" s="27"/>
      <c r="O1170" s="27"/>
      <c r="P1170" s="27"/>
      <c r="Q1170" s="27"/>
      <c r="R1170" s="27"/>
    </row>
    <row r="1171" spans="2:18" s="25" customFormat="1" x14ac:dyDescent="0.25">
      <c r="B1171" s="350"/>
      <c r="D1171" s="355"/>
      <c r="I1171" s="58"/>
      <c r="M1171" s="27"/>
      <c r="N1171" s="27"/>
      <c r="O1171" s="27"/>
      <c r="P1171" s="27"/>
      <c r="Q1171" s="27"/>
      <c r="R1171" s="27"/>
    </row>
    <row r="1172" spans="2:18" s="25" customFormat="1" x14ac:dyDescent="0.25">
      <c r="B1172" s="350"/>
      <c r="D1172" s="355"/>
      <c r="I1172" s="58"/>
      <c r="M1172" s="27"/>
      <c r="N1172" s="27"/>
      <c r="O1172" s="27"/>
      <c r="P1172" s="27"/>
      <c r="Q1172" s="27"/>
      <c r="R1172" s="27"/>
    </row>
    <row r="1173" spans="2:18" s="25" customFormat="1" x14ac:dyDescent="0.25">
      <c r="B1173" s="350"/>
      <c r="D1173" s="355"/>
      <c r="I1173" s="58"/>
      <c r="M1173" s="27"/>
      <c r="N1173" s="27"/>
      <c r="O1173" s="27"/>
      <c r="P1173" s="27"/>
      <c r="Q1173" s="27"/>
      <c r="R1173" s="27"/>
    </row>
    <row r="1174" spans="2:18" s="25" customFormat="1" x14ac:dyDescent="0.25">
      <c r="B1174" s="350"/>
      <c r="D1174" s="355"/>
      <c r="I1174" s="58"/>
      <c r="M1174" s="27"/>
      <c r="N1174" s="27"/>
      <c r="O1174" s="27"/>
      <c r="P1174" s="27"/>
      <c r="Q1174" s="27"/>
      <c r="R1174" s="27"/>
    </row>
    <row r="1175" spans="2:18" s="25" customFormat="1" x14ac:dyDescent="0.25">
      <c r="B1175" s="350"/>
      <c r="D1175" s="355"/>
      <c r="I1175" s="58"/>
      <c r="M1175" s="27"/>
      <c r="N1175" s="27"/>
      <c r="O1175" s="27"/>
      <c r="P1175" s="27"/>
      <c r="Q1175" s="27"/>
      <c r="R1175" s="27"/>
    </row>
    <row r="1176" spans="2:18" s="25" customFormat="1" x14ac:dyDescent="0.25">
      <c r="B1176" s="350"/>
      <c r="D1176" s="355"/>
      <c r="I1176" s="58"/>
      <c r="M1176" s="27"/>
      <c r="N1176" s="27"/>
      <c r="O1176" s="27"/>
      <c r="P1176" s="27"/>
      <c r="Q1176" s="27"/>
      <c r="R1176" s="27"/>
    </row>
    <row r="1177" spans="2:18" s="25" customFormat="1" x14ac:dyDescent="0.25">
      <c r="B1177" s="350"/>
      <c r="D1177" s="355"/>
      <c r="I1177" s="58"/>
      <c r="M1177" s="27"/>
      <c r="N1177" s="27"/>
      <c r="O1177" s="27"/>
      <c r="P1177" s="27"/>
      <c r="Q1177" s="27"/>
      <c r="R1177" s="27"/>
    </row>
    <row r="1178" spans="2:18" s="25" customFormat="1" x14ac:dyDescent="0.25">
      <c r="B1178" s="350"/>
      <c r="D1178" s="355"/>
      <c r="I1178" s="58"/>
      <c r="M1178" s="27"/>
      <c r="N1178" s="27"/>
      <c r="O1178" s="27"/>
      <c r="P1178" s="27"/>
      <c r="Q1178" s="27"/>
      <c r="R1178" s="27"/>
    </row>
    <row r="1179" spans="2:18" s="25" customFormat="1" x14ac:dyDescent="0.25">
      <c r="B1179" s="350"/>
      <c r="D1179" s="355"/>
      <c r="I1179" s="58"/>
      <c r="M1179" s="27"/>
      <c r="N1179" s="27"/>
      <c r="O1179" s="27"/>
      <c r="P1179" s="27"/>
      <c r="Q1179" s="27"/>
      <c r="R1179" s="27"/>
    </row>
    <row r="1180" spans="2:18" s="25" customFormat="1" x14ac:dyDescent="0.25">
      <c r="B1180" s="350"/>
      <c r="D1180" s="355"/>
      <c r="I1180" s="58"/>
      <c r="M1180" s="27"/>
      <c r="N1180" s="27"/>
      <c r="O1180" s="27"/>
      <c r="P1180" s="27"/>
      <c r="Q1180" s="27"/>
      <c r="R1180" s="27"/>
    </row>
    <row r="1181" spans="2:18" s="25" customFormat="1" x14ac:dyDescent="0.25">
      <c r="B1181" s="350"/>
      <c r="D1181" s="355"/>
      <c r="I1181" s="58"/>
      <c r="M1181" s="27"/>
      <c r="N1181" s="27"/>
      <c r="O1181" s="27"/>
      <c r="P1181" s="27"/>
      <c r="Q1181" s="27"/>
      <c r="R1181" s="27"/>
    </row>
    <row r="1182" spans="2:18" s="25" customFormat="1" x14ac:dyDescent="0.25">
      <c r="B1182" s="350"/>
      <c r="D1182" s="355"/>
      <c r="I1182" s="58"/>
      <c r="M1182" s="27"/>
      <c r="N1182" s="27"/>
      <c r="O1182" s="27"/>
      <c r="P1182" s="27"/>
      <c r="Q1182" s="27"/>
      <c r="R1182" s="27"/>
    </row>
    <row r="1183" spans="2:18" s="25" customFormat="1" x14ac:dyDescent="0.25">
      <c r="B1183" s="350"/>
      <c r="D1183" s="355"/>
      <c r="I1183" s="58"/>
      <c r="M1183" s="27"/>
      <c r="N1183" s="27"/>
      <c r="O1183" s="27"/>
      <c r="P1183" s="27"/>
      <c r="Q1183" s="27"/>
      <c r="R1183" s="27"/>
    </row>
    <row r="1184" spans="2:18" s="25" customFormat="1" x14ac:dyDescent="0.25">
      <c r="B1184" s="350"/>
      <c r="D1184" s="355"/>
      <c r="I1184" s="58"/>
      <c r="M1184" s="27"/>
      <c r="N1184" s="27"/>
      <c r="O1184" s="27"/>
      <c r="P1184" s="27"/>
      <c r="Q1184" s="27"/>
      <c r="R1184" s="27"/>
    </row>
    <row r="1185" spans="2:18" s="25" customFormat="1" x14ac:dyDescent="0.25">
      <c r="B1185" s="350"/>
      <c r="D1185" s="355"/>
      <c r="I1185" s="58"/>
      <c r="M1185" s="27"/>
      <c r="N1185" s="27"/>
      <c r="O1185" s="27"/>
      <c r="P1185" s="27"/>
      <c r="Q1185" s="27"/>
      <c r="R1185" s="27"/>
    </row>
    <row r="1186" spans="2:18" s="25" customFormat="1" x14ac:dyDescent="0.25">
      <c r="B1186" s="350"/>
      <c r="D1186" s="355"/>
      <c r="I1186" s="58"/>
      <c r="M1186" s="27"/>
      <c r="N1186" s="27"/>
      <c r="O1186" s="27"/>
      <c r="P1186" s="27"/>
      <c r="Q1186" s="27"/>
      <c r="R1186" s="27"/>
    </row>
    <row r="1187" spans="2:18" s="25" customFormat="1" x14ac:dyDescent="0.25">
      <c r="B1187" s="350"/>
      <c r="D1187" s="355"/>
      <c r="I1187" s="58"/>
      <c r="M1187" s="27"/>
      <c r="N1187" s="27"/>
      <c r="O1187" s="27"/>
      <c r="P1187" s="27"/>
      <c r="Q1187" s="27"/>
      <c r="R1187" s="27"/>
    </row>
    <row r="1188" spans="2:18" s="25" customFormat="1" x14ac:dyDescent="0.25">
      <c r="B1188" s="350"/>
      <c r="D1188" s="355"/>
      <c r="I1188" s="58"/>
      <c r="M1188" s="27"/>
      <c r="N1188" s="27"/>
      <c r="O1188" s="27"/>
      <c r="P1188" s="27"/>
      <c r="Q1188" s="27"/>
      <c r="R1188" s="27"/>
    </row>
    <row r="1189" spans="2:18" s="25" customFormat="1" x14ac:dyDescent="0.25">
      <c r="B1189" s="350"/>
      <c r="D1189" s="355"/>
      <c r="I1189" s="58"/>
      <c r="M1189" s="27"/>
      <c r="N1189" s="27"/>
      <c r="O1189" s="27"/>
      <c r="P1189" s="27"/>
      <c r="Q1189" s="27"/>
      <c r="R1189" s="27"/>
    </row>
    <row r="1190" spans="2:18" s="25" customFormat="1" x14ac:dyDescent="0.25">
      <c r="B1190" s="350"/>
      <c r="D1190" s="355"/>
      <c r="I1190" s="58"/>
      <c r="M1190" s="27"/>
      <c r="N1190" s="27"/>
      <c r="O1190" s="27"/>
      <c r="P1190" s="27"/>
      <c r="Q1190" s="27"/>
      <c r="R1190" s="27"/>
    </row>
    <row r="1191" spans="2:18" s="25" customFormat="1" x14ac:dyDescent="0.25">
      <c r="B1191" s="350"/>
      <c r="D1191" s="355"/>
      <c r="I1191" s="58"/>
      <c r="M1191" s="27"/>
      <c r="N1191" s="27"/>
      <c r="O1191" s="27"/>
      <c r="P1191" s="27"/>
      <c r="Q1191" s="27"/>
      <c r="R1191" s="27"/>
    </row>
    <row r="1192" spans="2:18" s="25" customFormat="1" x14ac:dyDescent="0.25">
      <c r="B1192" s="350"/>
      <c r="D1192" s="355"/>
      <c r="I1192" s="58"/>
      <c r="M1192" s="27"/>
      <c r="N1192" s="27"/>
      <c r="O1192" s="27"/>
      <c r="P1192" s="27"/>
      <c r="Q1192" s="27"/>
      <c r="R1192" s="27"/>
    </row>
    <row r="1193" spans="2:18" s="25" customFormat="1" x14ac:dyDescent="0.25">
      <c r="B1193" s="350"/>
      <c r="D1193" s="355"/>
      <c r="I1193" s="58"/>
      <c r="M1193" s="27"/>
      <c r="N1193" s="27"/>
      <c r="O1193" s="27"/>
      <c r="P1193" s="27"/>
      <c r="Q1193" s="27"/>
      <c r="R1193" s="27"/>
    </row>
    <row r="1194" spans="2:18" s="25" customFormat="1" x14ac:dyDescent="0.25">
      <c r="B1194" s="350"/>
      <c r="D1194" s="355"/>
      <c r="I1194" s="58"/>
      <c r="M1194" s="27"/>
      <c r="N1194" s="27"/>
      <c r="O1194" s="27"/>
      <c r="P1194" s="27"/>
      <c r="Q1194" s="27"/>
      <c r="R1194" s="27"/>
    </row>
    <row r="1195" spans="2:18" s="25" customFormat="1" x14ac:dyDescent="0.25">
      <c r="B1195" s="350"/>
      <c r="D1195" s="355"/>
      <c r="I1195" s="58"/>
      <c r="M1195" s="27"/>
      <c r="N1195" s="27"/>
      <c r="O1195" s="27"/>
      <c r="P1195" s="27"/>
      <c r="Q1195" s="27"/>
      <c r="R1195" s="27"/>
    </row>
    <row r="1196" spans="2:18" s="25" customFormat="1" x14ac:dyDescent="0.25">
      <c r="B1196" s="350"/>
      <c r="D1196" s="355"/>
      <c r="I1196" s="58"/>
      <c r="M1196" s="27"/>
      <c r="N1196" s="27"/>
      <c r="O1196" s="27"/>
      <c r="P1196" s="27"/>
      <c r="Q1196" s="27"/>
      <c r="R1196" s="27"/>
    </row>
    <row r="1197" spans="2:18" s="25" customFormat="1" x14ac:dyDescent="0.25">
      <c r="B1197" s="350"/>
      <c r="D1197" s="355"/>
      <c r="I1197" s="58"/>
      <c r="M1197" s="27"/>
      <c r="N1197" s="27"/>
      <c r="O1197" s="27"/>
      <c r="P1197" s="27"/>
      <c r="Q1197" s="27"/>
      <c r="R1197" s="27"/>
    </row>
    <row r="1198" spans="2:18" s="25" customFormat="1" x14ac:dyDescent="0.25">
      <c r="B1198" s="350"/>
      <c r="D1198" s="355"/>
      <c r="I1198" s="58"/>
      <c r="M1198" s="27"/>
      <c r="N1198" s="27"/>
      <c r="O1198" s="27"/>
      <c r="P1198" s="27"/>
      <c r="Q1198" s="27"/>
      <c r="R1198" s="27"/>
    </row>
    <row r="1199" spans="2:18" s="25" customFormat="1" x14ac:dyDescent="0.25">
      <c r="B1199" s="350"/>
      <c r="D1199" s="355"/>
      <c r="I1199" s="58"/>
      <c r="M1199" s="27"/>
      <c r="N1199" s="27"/>
      <c r="O1199" s="27"/>
      <c r="P1199" s="27"/>
      <c r="Q1199" s="27"/>
      <c r="R1199" s="27"/>
    </row>
    <row r="1200" spans="2:18" s="25" customFormat="1" x14ac:dyDescent="0.25">
      <c r="B1200" s="350"/>
      <c r="D1200" s="355"/>
      <c r="I1200" s="58"/>
      <c r="M1200" s="27"/>
      <c r="N1200" s="27"/>
      <c r="O1200" s="27"/>
      <c r="P1200" s="27"/>
      <c r="Q1200" s="27"/>
      <c r="R1200" s="27"/>
    </row>
    <row r="1201" spans="2:18" s="25" customFormat="1" x14ac:dyDescent="0.25">
      <c r="B1201" s="350"/>
      <c r="D1201" s="355"/>
      <c r="I1201" s="58"/>
      <c r="M1201" s="27"/>
      <c r="N1201" s="27"/>
      <c r="O1201" s="27"/>
      <c r="P1201" s="27"/>
      <c r="Q1201" s="27"/>
      <c r="R1201" s="27"/>
    </row>
    <row r="1202" spans="2:18" s="25" customFormat="1" x14ac:dyDescent="0.25">
      <c r="B1202" s="350"/>
      <c r="D1202" s="355"/>
      <c r="I1202" s="58"/>
      <c r="M1202" s="27"/>
      <c r="N1202" s="27"/>
      <c r="O1202" s="27"/>
      <c r="P1202" s="27"/>
      <c r="Q1202" s="27"/>
      <c r="R1202" s="27"/>
    </row>
    <row r="1203" spans="2:18" s="25" customFormat="1" x14ac:dyDescent="0.25">
      <c r="B1203" s="350"/>
      <c r="D1203" s="355"/>
      <c r="I1203" s="58"/>
      <c r="M1203" s="27"/>
      <c r="N1203" s="27"/>
      <c r="O1203" s="27"/>
      <c r="P1203" s="27"/>
      <c r="Q1203" s="27"/>
      <c r="R1203" s="27"/>
    </row>
    <row r="1204" spans="2:18" s="25" customFormat="1" x14ac:dyDescent="0.25">
      <c r="B1204" s="350"/>
      <c r="D1204" s="355"/>
      <c r="I1204" s="58"/>
      <c r="M1204" s="27"/>
      <c r="N1204" s="27"/>
      <c r="O1204" s="27"/>
      <c r="P1204" s="27"/>
      <c r="Q1204" s="27"/>
      <c r="R1204" s="27"/>
    </row>
    <row r="1205" spans="2:18" s="25" customFormat="1" x14ac:dyDescent="0.25">
      <c r="B1205" s="350"/>
      <c r="D1205" s="355"/>
      <c r="I1205" s="58"/>
      <c r="M1205" s="27"/>
      <c r="N1205" s="27"/>
      <c r="O1205" s="27"/>
      <c r="P1205" s="27"/>
      <c r="Q1205" s="27"/>
      <c r="R1205" s="27"/>
    </row>
    <row r="1206" spans="2:18" s="25" customFormat="1" x14ac:dyDescent="0.25">
      <c r="B1206" s="350"/>
      <c r="D1206" s="355"/>
      <c r="I1206" s="58"/>
      <c r="M1206" s="27"/>
      <c r="N1206" s="27"/>
      <c r="O1206" s="27"/>
      <c r="P1206" s="27"/>
      <c r="Q1206" s="27"/>
      <c r="R1206" s="27"/>
    </row>
    <row r="1207" spans="2:18" s="25" customFormat="1" x14ac:dyDescent="0.25">
      <c r="B1207" s="350"/>
      <c r="D1207" s="355"/>
      <c r="I1207" s="58"/>
      <c r="M1207" s="27"/>
      <c r="N1207" s="27"/>
      <c r="O1207" s="27"/>
      <c r="P1207" s="27"/>
      <c r="Q1207" s="27"/>
      <c r="R1207" s="27"/>
    </row>
    <row r="1208" spans="2:18" s="25" customFormat="1" x14ac:dyDescent="0.25">
      <c r="B1208" s="350"/>
      <c r="D1208" s="355"/>
      <c r="I1208" s="58"/>
      <c r="M1208" s="27"/>
      <c r="N1208" s="27"/>
      <c r="O1208" s="27"/>
      <c r="P1208" s="27"/>
      <c r="Q1208" s="27"/>
      <c r="R1208" s="27"/>
    </row>
    <row r="1209" spans="2:18" s="25" customFormat="1" x14ac:dyDescent="0.25">
      <c r="B1209" s="350"/>
      <c r="D1209" s="355"/>
      <c r="I1209" s="58"/>
      <c r="M1209" s="27"/>
      <c r="N1209" s="27"/>
      <c r="O1209" s="27"/>
      <c r="P1209" s="27"/>
      <c r="Q1209" s="27"/>
      <c r="R1209" s="27"/>
    </row>
    <row r="1210" spans="2:18" s="25" customFormat="1" x14ac:dyDescent="0.25">
      <c r="B1210" s="350"/>
      <c r="D1210" s="355"/>
      <c r="I1210" s="58"/>
      <c r="M1210" s="27"/>
      <c r="N1210" s="27"/>
      <c r="O1210" s="27"/>
      <c r="P1210" s="27"/>
      <c r="Q1210" s="27"/>
      <c r="R1210" s="27"/>
    </row>
    <row r="1211" spans="2:18" s="25" customFormat="1" x14ac:dyDescent="0.25">
      <c r="B1211" s="350"/>
      <c r="D1211" s="355"/>
      <c r="I1211" s="58"/>
      <c r="M1211" s="27"/>
      <c r="N1211" s="27"/>
      <c r="O1211" s="27"/>
      <c r="P1211" s="27"/>
      <c r="Q1211" s="27"/>
      <c r="R1211" s="27"/>
    </row>
    <row r="1212" spans="2:18" s="25" customFormat="1" x14ac:dyDescent="0.25">
      <c r="B1212" s="350"/>
      <c r="D1212" s="355"/>
      <c r="I1212" s="58"/>
      <c r="M1212" s="27"/>
      <c r="N1212" s="27"/>
      <c r="O1212" s="27"/>
      <c r="P1212" s="27"/>
      <c r="Q1212" s="27"/>
      <c r="R1212" s="27"/>
    </row>
    <row r="1213" spans="2:18" s="25" customFormat="1" x14ac:dyDescent="0.25">
      <c r="B1213" s="350"/>
      <c r="D1213" s="355"/>
      <c r="I1213" s="58"/>
      <c r="M1213" s="27"/>
      <c r="N1213" s="27"/>
      <c r="O1213" s="27"/>
      <c r="P1213" s="27"/>
      <c r="Q1213" s="27"/>
      <c r="R1213" s="27"/>
    </row>
    <row r="1214" spans="2:18" s="25" customFormat="1" x14ac:dyDescent="0.25">
      <c r="B1214" s="350"/>
      <c r="D1214" s="355"/>
      <c r="I1214" s="58"/>
      <c r="M1214" s="27"/>
      <c r="N1214" s="27"/>
      <c r="O1214" s="27"/>
      <c r="P1214" s="27"/>
      <c r="Q1214" s="27"/>
      <c r="R1214" s="27"/>
    </row>
    <row r="1215" spans="2:18" s="25" customFormat="1" x14ac:dyDescent="0.25">
      <c r="B1215" s="350"/>
      <c r="D1215" s="355"/>
      <c r="I1215" s="58"/>
      <c r="M1215" s="27"/>
      <c r="N1215" s="27"/>
      <c r="O1215" s="27"/>
      <c r="P1215" s="27"/>
      <c r="Q1215" s="27"/>
      <c r="R1215" s="27"/>
    </row>
    <row r="1216" spans="2:18" s="25" customFormat="1" x14ac:dyDescent="0.25">
      <c r="B1216" s="350"/>
      <c r="D1216" s="355"/>
      <c r="I1216" s="58"/>
      <c r="M1216" s="27"/>
      <c r="N1216" s="27"/>
      <c r="O1216" s="27"/>
      <c r="P1216" s="27"/>
      <c r="Q1216" s="27"/>
      <c r="R1216" s="27"/>
    </row>
    <row r="1217" spans="2:18" s="25" customFormat="1" x14ac:dyDescent="0.25">
      <c r="B1217" s="350"/>
      <c r="D1217" s="355"/>
      <c r="I1217" s="58"/>
      <c r="M1217" s="27"/>
      <c r="N1217" s="27"/>
      <c r="O1217" s="27"/>
      <c r="P1217" s="27"/>
      <c r="Q1217" s="27"/>
      <c r="R1217" s="27"/>
    </row>
    <row r="1218" spans="2:18" s="25" customFormat="1" x14ac:dyDescent="0.25">
      <c r="B1218" s="350"/>
      <c r="D1218" s="355"/>
      <c r="I1218" s="58"/>
      <c r="M1218" s="27"/>
      <c r="N1218" s="27"/>
      <c r="O1218" s="27"/>
      <c r="P1218" s="27"/>
      <c r="Q1218" s="27"/>
      <c r="R1218" s="27"/>
    </row>
    <row r="1219" spans="2:18" s="25" customFormat="1" x14ac:dyDescent="0.25">
      <c r="B1219" s="350"/>
      <c r="D1219" s="355"/>
      <c r="I1219" s="58"/>
      <c r="M1219" s="27"/>
      <c r="N1219" s="27"/>
      <c r="O1219" s="27"/>
      <c r="P1219" s="27"/>
      <c r="Q1219" s="27"/>
      <c r="R1219" s="27"/>
    </row>
    <row r="1220" spans="2:18" s="25" customFormat="1" x14ac:dyDescent="0.25">
      <c r="B1220" s="350"/>
      <c r="D1220" s="355"/>
      <c r="I1220" s="58"/>
      <c r="M1220" s="27"/>
      <c r="N1220" s="27"/>
      <c r="O1220" s="27"/>
      <c r="P1220" s="27"/>
      <c r="Q1220" s="27"/>
      <c r="R1220" s="27"/>
    </row>
    <row r="1221" spans="2:18" s="25" customFormat="1" x14ac:dyDescent="0.25">
      <c r="B1221" s="350"/>
      <c r="D1221" s="355"/>
      <c r="I1221" s="58"/>
      <c r="M1221" s="27"/>
      <c r="N1221" s="27"/>
      <c r="O1221" s="27"/>
      <c r="P1221" s="27"/>
      <c r="Q1221" s="27"/>
      <c r="R1221" s="27"/>
    </row>
    <row r="1222" spans="2:18" s="25" customFormat="1" x14ac:dyDescent="0.25">
      <c r="B1222" s="350"/>
      <c r="D1222" s="355"/>
      <c r="I1222" s="58"/>
      <c r="M1222" s="27"/>
      <c r="N1222" s="27"/>
      <c r="O1222" s="27"/>
      <c r="P1222" s="27"/>
      <c r="Q1222" s="27"/>
      <c r="R1222" s="27"/>
    </row>
    <row r="1223" spans="2:18" s="25" customFormat="1" x14ac:dyDescent="0.25">
      <c r="B1223" s="350"/>
      <c r="D1223" s="355"/>
      <c r="I1223" s="58"/>
      <c r="M1223" s="27"/>
      <c r="N1223" s="27"/>
      <c r="O1223" s="27"/>
      <c r="P1223" s="27"/>
      <c r="Q1223" s="27"/>
      <c r="R1223" s="27"/>
    </row>
    <row r="1224" spans="2:18" s="25" customFormat="1" x14ac:dyDescent="0.25">
      <c r="B1224" s="350"/>
      <c r="D1224" s="355"/>
      <c r="I1224" s="58"/>
      <c r="M1224" s="27"/>
      <c r="N1224" s="27"/>
      <c r="O1224" s="27"/>
      <c r="P1224" s="27"/>
      <c r="Q1224" s="27"/>
      <c r="R1224" s="27"/>
    </row>
    <row r="1225" spans="2:18" s="25" customFormat="1" x14ac:dyDescent="0.25">
      <c r="B1225" s="350"/>
      <c r="D1225" s="355"/>
      <c r="I1225" s="58"/>
      <c r="M1225" s="27"/>
      <c r="N1225" s="27"/>
      <c r="O1225" s="27"/>
      <c r="P1225" s="27"/>
      <c r="Q1225" s="27"/>
      <c r="R1225" s="27"/>
    </row>
    <row r="1226" spans="2:18" s="25" customFormat="1" x14ac:dyDescent="0.25">
      <c r="B1226" s="350"/>
      <c r="D1226" s="355"/>
      <c r="I1226" s="58"/>
      <c r="M1226" s="27"/>
      <c r="N1226" s="27"/>
      <c r="O1226" s="27"/>
      <c r="P1226" s="27"/>
      <c r="Q1226" s="27"/>
      <c r="R1226" s="27"/>
    </row>
    <row r="1227" spans="2:18" s="25" customFormat="1" x14ac:dyDescent="0.25">
      <c r="B1227" s="350"/>
      <c r="D1227" s="355"/>
      <c r="I1227" s="58"/>
      <c r="M1227" s="27"/>
      <c r="N1227" s="27"/>
      <c r="O1227" s="27"/>
      <c r="P1227" s="27"/>
      <c r="Q1227" s="27"/>
      <c r="R1227" s="27"/>
    </row>
    <row r="1228" spans="2:18" s="25" customFormat="1" x14ac:dyDescent="0.25">
      <c r="B1228" s="350"/>
      <c r="D1228" s="355"/>
      <c r="I1228" s="58"/>
      <c r="M1228" s="27"/>
      <c r="N1228" s="27"/>
      <c r="O1228" s="27"/>
      <c r="P1228" s="27"/>
      <c r="Q1228" s="27"/>
      <c r="R1228" s="27"/>
    </row>
    <row r="1229" spans="2:18" s="25" customFormat="1" x14ac:dyDescent="0.25">
      <c r="B1229" s="350"/>
      <c r="D1229" s="355"/>
      <c r="I1229" s="58"/>
      <c r="M1229" s="27"/>
      <c r="N1229" s="27"/>
      <c r="O1229" s="27"/>
      <c r="P1229" s="27"/>
      <c r="Q1229" s="27"/>
      <c r="R1229" s="27"/>
    </row>
    <row r="1230" spans="2:18" s="25" customFormat="1" x14ac:dyDescent="0.25">
      <c r="B1230" s="350"/>
      <c r="D1230" s="355"/>
      <c r="I1230" s="58"/>
      <c r="M1230" s="27"/>
      <c r="N1230" s="27"/>
      <c r="O1230" s="27"/>
      <c r="P1230" s="27"/>
      <c r="Q1230" s="27"/>
      <c r="R1230" s="27"/>
    </row>
    <row r="1231" spans="2:18" s="25" customFormat="1" x14ac:dyDescent="0.25">
      <c r="B1231" s="350"/>
      <c r="D1231" s="355"/>
      <c r="I1231" s="58"/>
      <c r="M1231" s="27"/>
      <c r="N1231" s="27"/>
      <c r="O1231" s="27"/>
      <c r="P1231" s="27"/>
      <c r="Q1231" s="27"/>
      <c r="R1231" s="27"/>
    </row>
    <row r="1232" spans="2:18" s="25" customFormat="1" x14ac:dyDescent="0.25">
      <c r="B1232" s="350"/>
      <c r="D1232" s="355"/>
      <c r="I1232" s="58"/>
      <c r="M1232" s="27"/>
      <c r="N1232" s="27"/>
      <c r="O1232" s="27"/>
      <c r="P1232" s="27"/>
      <c r="Q1232" s="27"/>
      <c r="R1232" s="27"/>
    </row>
    <row r="1233" spans="2:18" s="25" customFormat="1" x14ac:dyDescent="0.25">
      <c r="B1233" s="350"/>
      <c r="D1233" s="355"/>
      <c r="I1233" s="58"/>
      <c r="M1233" s="27"/>
      <c r="N1233" s="27"/>
      <c r="O1233" s="27"/>
      <c r="P1233" s="27"/>
      <c r="Q1233" s="27"/>
      <c r="R1233" s="27"/>
    </row>
    <row r="1234" spans="2:18" s="25" customFormat="1" x14ac:dyDescent="0.25">
      <c r="B1234" s="350"/>
      <c r="D1234" s="355"/>
      <c r="I1234" s="58"/>
      <c r="M1234" s="27"/>
      <c r="N1234" s="27"/>
      <c r="O1234" s="27"/>
      <c r="P1234" s="27"/>
      <c r="Q1234" s="27"/>
      <c r="R1234" s="27"/>
    </row>
    <row r="1235" spans="2:18" s="25" customFormat="1" x14ac:dyDescent="0.25">
      <c r="B1235" s="350"/>
      <c r="D1235" s="355"/>
      <c r="I1235" s="58"/>
      <c r="M1235" s="27"/>
      <c r="N1235" s="27"/>
      <c r="O1235" s="27"/>
      <c r="P1235" s="27"/>
      <c r="Q1235" s="27"/>
      <c r="R1235" s="27"/>
    </row>
    <row r="1236" spans="2:18" s="25" customFormat="1" x14ac:dyDescent="0.25">
      <c r="B1236" s="350"/>
      <c r="D1236" s="355"/>
      <c r="I1236" s="58"/>
      <c r="M1236" s="27"/>
      <c r="N1236" s="27"/>
      <c r="O1236" s="27"/>
      <c r="P1236" s="27"/>
      <c r="Q1236" s="27"/>
      <c r="R1236" s="27"/>
    </row>
    <row r="1237" spans="2:18" s="25" customFormat="1" x14ac:dyDescent="0.25">
      <c r="B1237" s="350"/>
      <c r="D1237" s="355"/>
      <c r="I1237" s="58"/>
      <c r="M1237" s="27"/>
      <c r="N1237" s="27"/>
      <c r="O1237" s="27"/>
      <c r="P1237" s="27"/>
      <c r="Q1237" s="27"/>
      <c r="R1237" s="27"/>
    </row>
    <row r="1238" spans="2:18" s="25" customFormat="1" x14ac:dyDescent="0.25">
      <c r="B1238" s="350"/>
      <c r="D1238" s="355"/>
      <c r="I1238" s="58"/>
      <c r="M1238" s="27"/>
      <c r="N1238" s="27"/>
      <c r="O1238" s="27"/>
      <c r="P1238" s="27"/>
      <c r="Q1238" s="27"/>
      <c r="R1238" s="27"/>
    </row>
    <row r="1239" spans="2:18" s="25" customFormat="1" x14ac:dyDescent="0.25">
      <c r="B1239" s="350"/>
      <c r="D1239" s="355"/>
      <c r="I1239" s="58"/>
      <c r="M1239" s="27"/>
      <c r="N1239" s="27"/>
      <c r="O1239" s="27"/>
      <c r="P1239" s="27"/>
      <c r="Q1239" s="27"/>
      <c r="R1239" s="27"/>
    </row>
    <row r="1240" spans="2:18" s="25" customFormat="1" x14ac:dyDescent="0.25">
      <c r="B1240" s="350"/>
      <c r="D1240" s="355"/>
      <c r="I1240" s="58"/>
      <c r="M1240" s="27"/>
      <c r="N1240" s="27"/>
      <c r="O1240" s="27"/>
      <c r="P1240" s="27"/>
      <c r="Q1240" s="27"/>
      <c r="R1240" s="27"/>
    </row>
    <row r="1241" spans="2:18" s="25" customFormat="1" x14ac:dyDescent="0.25">
      <c r="B1241" s="350"/>
      <c r="D1241" s="355"/>
      <c r="I1241" s="58"/>
      <c r="M1241" s="27"/>
      <c r="N1241" s="27"/>
      <c r="O1241" s="27"/>
      <c r="P1241" s="27"/>
      <c r="Q1241" s="27"/>
      <c r="R1241" s="27"/>
    </row>
    <row r="1242" spans="2:18" s="25" customFormat="1" x14ac:dyDescent="0.25">
      <c r="B1242" s="350"/>
      <c r="D1242" s="355"/>
      <c r="I1242" s="58"/>
      <c r="M1242" s="27"/>
      <c r="N1242" s="27"/>
      <c r="O1242" s="27"/>
      <c r="P1242" s="27"/>
      <c r="Q1242" s="27"/>
      <c r="R1242" s="27"/>
    </row>
    <row r="1243" spans="2:18" s="25" customFormat="1" x14ac:dyDescent="0.25">
      <c r="B1243" s="350"/>
      <c r="D1243" s="355"/>
      <c r="I1243" s="58"/>
      <c r="M1243" s="27"/>
      <c r="N1243" s="27"/>
      <c r="O1243" s="27"/>
      <c r="P1243" s="27"/>
      <c r="Q1243" s="27"/>
      <c r="R1243" s="27"/>
    </row>
    <row r="1244" spans="2:18" s="25" customFormat="1" x14ac:dyDescent="0.25">
      <c r="B1244" s="350"/>
      <c r="D1244" s="355"/>
      <c r="I1244" s="58"/>
      <c r="M1244" s="27"/>
      <c r="N1244" s="27"/>
      <c r="O1244" s="27"/>
      <c r="P1244" s="27"/>
      <c r="Q1244" s="27"/>
      <c r="R1244" s="27"/>
    </row>
    <row r="1245" spans="2:18" s="25" customFormat="1" x14ac:dyDescent="0.25">
      <c r="B1245" s="350"/>
      <c r="D1245" s="355"/>
      <c r="I1245" s="58"/>
      <c r="M1245" s="27"/>
      <c r="N1245" s="27"/>
      <c r="O1245" s="27"/>
      <c r="P1245" s="27"/>
      <c r="Q1245" s="27"/>
      <c r="R1245" s="27"/>
    </row>
    <row r="1246" spans="2:18" s="25" customFormat="1" x14ac:dyDescent="0.25">
      <c r="B1246" s="350"/>
      <c r="D1246" s="355"/>
      <c r="I1246" s="58"/>
      <c r="M1246" s="27"/>
      <c r="N1246" s="27"/>
      <c r="O1246" s="27"/>
      <c r="P1246" s="27"/>
      <c r="Q1246" s="27"/>
      <c r="R1246" s="27"/>
    </row>
    <row r="1247" spans="2:18" s="25" customFormat="1" x14ac:dyDescent="0.25">
      <c r="B1247" s="350"/>
      <c r="D1247" s="355"/>
      <c r="I1247" s="58"/>
      <c r="M1247" s="27"/>
      <c r="N1247" s="27"/>
      <c r="O1247" s="27"/>
      <c r="P1247" s="27"/>
      <c r="Q1247" s="27"/>
      <c r="R1247" s="27"/>
    </row>
    <row r="1248" spans="2:18" s="25" customFormat="1" x14ac:dyDescent="0.25">
      <c r="B1248" s="350"/>
      <c r="D1248" s="355"/>
      <c r="I1248" s="58"/>
      <c r="M1248" s="27"/>
      <c r="N1248" s="27"/>
      <c r="O1248" s="27"/>
      <c r="P1248" s="27"/>
      <c r="Q1248" s="27"/>
      <c r="R1248" s="27"/>
    </row>
    <row r="1249" spans="2:18" s="25" customFormat="1" x14ac:dyDescent="0.25">
      <c r="B1249" s="350"/>
      <c r="D1249" s="355"/>
      <c r="I1249" s="58"/>
      <c r="M1249" s="27"/>
      <c r="N1249" s="27"/>
      <c r="O1249" s="27"/>
      <c r="P1249" s="27"/>
      <c r="Q1249" s="27"/>
      <c r="R1249" s="27"/>
    </row>
    <row r="1250" spans="2:18" s="25" customFormat="1" x14ac:dyDescent="0.25">
      <c r="B1250" s="350"/>
      <c r="D1250" s="355"/>
      <c r="I1250" s="58"/>
      <c r="M1250" s="27"/>
      <c r="N1250" s="27"/>
      <c r="O1250" s="27"/>
      <c r="P1250" s="27"/>
      <c r="Q1250" s="27"/>
      <c r="R1250" s="27"/>
    </row>
    <row r="1251" spans="2:18" s="25" customFormat="1" x14ac:dyDescent="0.25">
      <c r="B1251" s="350"/>
      <c r="D1251" s="355"/>
      <c r="I1251" s="58"/>
      <c r="M1251" s="27"/>
      <c r="N1251" s="27"/>
      <c r="O1251" s="27"/>
      <c r="P1251" s="27"/>
      <c r="Q1251" s="27"/>
      <c r="R1251" s="27"/>
    </row>
    <row r="1252" spans="2:18" s="25" customFormat="1" x14ac:dyDescent="0.25">
      <c r="B1252" s="350"/>
      <c r="D1252" s="355"/>
      <c r="I1252" s="58"/>
      <c r="M1252" s="27"/>
      <c r="N1252" s="27"/>
      <c r="O1252" s="27"/>
      <c r="P1252" s="27"/>
      <c r="Q1252" s="27"/>
      <c r="R1252" s="27"/>
    </row>
    <row r="1253" spans="2:18" s="25" customFormat="1" x14ac:dyDescent="0.25">
      <c r="B1253" s="350"/>
      <c r="D1253" s="355"/>
      <c r="I1253" s="58"/>
      <c r="M1253" s="27"/>
      <c r="N1253" s="27"/>
      <c r="O1253" s="27"/>
      <c r="P1253" s="27"/>
      <c r="Q1253" s="27"/>
      <c r="R1253" s="27"/>
    </row>
    <row r="1254" spans="2:18" s="25" customFormat="1" x14ac:dyDescent="0.25">
      <c r="B1254" s="350"/>
      <c r="D1254" s="355"/>
      <c r="I1254" s="58"/>
      <c r="M1254" s="27"/>
      <c r="N1254" s="27"/>
      <c r="O1254" s="27"/>
      <c r="P1254" s="27"/>
      <c r="Q1254" s="27"/>
      <c r="R1254" s="27"/>
    </row>
    <row r="1255" spans="2:18" s="25" customFormat="1" x14ac:dyDescent="0.25">
      <c r="B1255" s="350"/>
      <c r="D1255" s="355"/>
      <c r="I1255" s="58"/>
      <c r="M1255" s="27"/>
      <c r="N1255" s="27"/>
      <c r="O1255" s="27"/>
      <c r="P1255" s="27"/>
      <c r="Q1255" s="27"/>
      <c r="R1255" s="27"/>
    </row>
    <row r="1256" spans="2:18" s="25" customFormat="1" x14ac:dyDescent="0.25">
      <c r="B1256" s="350"/>
      <c r="D1256" s="355"/>
      <c r="I1256" s="58"/>
      <c r="M1256" s="27"/>
      <c r="N1256" s="27"/>
      <c r="O1256" s="27"/>
      <c r="P1256" s="27"/>
      <c r="Q1256" s="27"/>
      <c r="R1256" s="27"/>
    </row>
    <row r="1257" spans="2:18" s="25" customFormat="1" x14ac:dyDescent="0.25">
      <c r="B1257" s="350"/>
      <c r="D1257" s="355"/>
      <c r="I1257" s="58"/>
      <c r="M1257" s="27"/>
      <c r="N1257" s="27"/>
      <c r="O1257" s="27"/>
      <c r="P1257" s="27"/>
      <c r="Q1257" s="27"/>
      <c r="R1257" s="27"/>
    </row>
    <row r="1258" spans="2:18" s="25" customFormat="1" x14ac:dyDescent="0.25">
      <c r="B1258" s="350"/>
      <c r="D1258" s="355"/>
      <c r="I1258" s="58"/>
      <c r="M1258" s="27"/>
      <c r="N1258" s="27"/>
      <c r="O1258" s="27"/>
      <c r="P1258" s="27"/>
      <c r="Q1258" s="27"/>
      <c r="R1258" s="27"/>
    </row>
    <row r="1259" spans="2:18" s="25" customFormat="1" x14ac:dyDescent="0.25">
      <c r="B1259" s="350"/>
      <c r="D1259" s="355"/>
      <c r="I1259" s="58"/>
      <c r="M1259" s="27"/>
      <c r="N1259" s="27"/>
      <c r="O1259" s="27"/>
      <c r="P1259" s="27"/>
      <c r="Q1259" s="27"/>
      <c r="R1259" s="27"/>
    </row>
    <row r="1260" spans="2:18" s="25" customFormat="1" x14ac:dyDescent="0.25">
      <c r="B1260" s="350"/>
      <c r="D1260" s="355"/>
      <c r="I1260" s="58"/>
      <c r="M1260" s="27"/>
      <c r="N1260" s="27"/>
      <c r="O1260" s="27"/>
      <c r="P1260" s="27"/>
      <c r="Q1260" s="27"/>
      <c r="R1260" s="27"/>
    </row>
    <row r="1261" spans="2:18" s="25" customFormat="1" x14ac:dyDescent="0.25">
      <c r="B1261" s="350"/>
      <c r="D1261" s="355"/>
      <c r="I1261" s="58"/>
      <c r="M1261" s="27"/>
      <c r="N1261" s="27"/>
      <c r="O1261" s="27"/>
      <c r="P1261" s="27"/>
      <c r="Q1261" s="27"/>
      <c r="R1261" s="27"/>
    </row>
    <row r="1262" spans="2:18" s="25" customFormat="1" x14ac:dyDescent="0.25">
      <c r="B1262" s="350"/>
      <c r="D1262" s="355"/>
      <c r="I1262" s="58"/>
      <c r="M1262" s="27"/>
      <c r="N1262" s="27"/>
      <c r="O1262" s="27"/>
      <c r="P1262" s="27"/>
      <c r="Q1262" s="27"/>
      <c r="R1262" s="27"/>
    </row>
    <row r="1263" spans="2:18" s="25" customFormat="1" x14ac:dyDescent="0.25">
      <c r="B1263" s="350"/>
      <c r="D1263" s="355"/>
      <c r="I1263" s="58"/>
      <c r="M1263" s="27"/>
      <c r="N1263" s="27"/>
      <c r="O1263" s="27"/>
      <c r="P1263" s="27"/>
      <c r="Q1263" s="27"/>
      <c r="R1263" s="27"/>
    </row>
    <row r="1264" spans="2:18" s="25" customFormat="1" x14ac:dyDescent="0.25">
      <c r="B1264" s="350"/>
      <c r="D1264" s="355"/>
      <c r="I1264" s="58"/>
      <c r="M1264" s="27"/>
      <c r="N1264" s="27"/>
      <c r="O1264" s="27"/>
      <c r="P1264" s="27"/>
      <c r="Q1264" s="27"/>
      <c r="R1264" s="27"/>
    </row>
    <row r="1265" spans="2:18" s="25" customFormat="1" x14ac:dyDescent="0.25">
      <c r="B1265" s="350"/>
      <c r="D1265" s="355"/>
      <c r="I1265" s="58"/>
      <c r="M1265" s="27"/>
      <c r="N1265" s="27"/>
      <c r="O1265" s="27"/>
      <c r="P1265" s="27"/>
      <c r="Q1265" s="27"/>
      <c r="R1265" s="27"/>
    </row>
    <row r="1266" spans="2:18" s="25" customFormat="1" x14ac:dyDescent="0.25">
      <c r="B1266" s="350"/>
      <c r="D1266" s="355"/>
      <c r="I1266" s="58"/>
      <c r="M1266" s="27"/>
      <c r="N1266" s="27"/>
      <c r="O1266" s="27"/>
      <c r="P1266" s="27"/>
      <c r="Q1266" s="27"/>
      <c r="R1266" s="27"/>
    </row>
    <row r="1267" spans="2:18" s="25" customFormat="1" x14ac:dyDescent="0.25">
      <c r="B1267" s="350"/>
      <c r="D1267" s="355"/>
      <c r="I1267" s="58"/>
      <c r="M1267" s="27"/>
      <c r="N1267" s="27"/>
      <c r="O1267" s="27"/>
      <c r="P1267" s="27"/>
      <c r="Q1267" s="27"/>
      <c r="R1267" s="27"/>
    </row>
    <row r="1268" spans="2:18" s="25" customFormat="1" x14ac:dyDescent="0.25">
      <c r="B1268" s="350"/>
      <c r="D1268" s="355"/>
      <c r="I1268" s="58"/>
      <c r="M1268" s="27"/>
      <c r="N1268" s="27"/>
      <c r="O1268" s="27"/>
      <c r="P1268" s="27"/>
      <c r="Q1268" s="27"/>
      <c r="R1268" s="27"/>
    </row>
    <row r="1269" spans="2:18" s="25" customFormat="1" x14ac:dyDescent="0.25">
      <c r="B1269" s="350"/>
      <c r="D1269" s="355"/>
      <c r="I1269" s="58"/>
      <c r="M1269" s="27"/>
      <c r="N1269" s="27"/>
      <c r="O1269" s="27"/>
      <c r="P1269" s="27"/>
      <c r="Q1269" s="27"/>
      <c r="R1269" s="27"/>
    </row>
    <row r="1270" spans="2:18" s="25" customFormat="1" x14ac:dyDescent="0.25">
      <c r="B1270" s="350"/>
      <c r="D1270" s="355"/>
      <c r="I1270" s="58"/>
      <c r="M1270" s="27"/>
      <c r="N1270" s="27"/>
      <c r="O1270" s="27"/>
      <c r="P1270" s="27"/>
      <c r="Q1270" s="27"/>
      <c r="R1270" s="27"/>
    </row>
    <row r="1271" spans="2:18" s="25" customFormat="1" x14ac:dyDescent="0.25">
      <c r="B1271" s="350"/>
      <c r="D1271" s="355"/>
      <c r="I1271" s="58"/>
      <c r="M1271" s="27"/>
      <c r="N1271" s="27"/>
      <c r="O1271" s="27"/>
      <c r="P1271" s="27"/>
      <c r="Q1271" s="27"/>
      <c r="R1271" s="27"/>
    </row>
    <row r="1272" spans="2:18" s="25" customFormat="1" x14ac:dyDescent="0.25">
      <c r="B1272" s="350"/>
      <c r="D1272" s="355"/>
      <c r="I1272" s="58"/>
      <c r="M1272" s="27"/>
      <c r="N1272" s="27"/>
      <c r="O1272" s="27"/>
      <c r="P1272" s="27"/>
      <c r="Q1272" s="27"/>
      <c r="R1272" s="27"/>
    </row>
    <row r="1273" spans="2:18" s="25" customFormat="1" x14ac:dyDescent="0.25">
      <c r="B1273" s="350"/>
      <c r="D1273" s="355"/>
      <c r="I1273" s="58"/>
      <c r="M1273" s="27"/>
      <c r="N1273" s="27"/>
      <c r="O1273" s="27"/>
      <c r="P1273" s="27"/>
      <c r="Q1273" s="27"/>
      <c r="R1273" s="27"/>
    </row>
    <row r="1274" spans="2:18" s="25" customFormat="1" x14ac:dyDescent="0.25">
      <c r="B1274" s="350"/>
      <c r="D1274" s="355"/>
      <c r="I1274" s="58"/>
      <c r="M1274" s="27"/>
      <c r="N1274" s="27"/>
      <c r="O1274" s="27"/>
      <c r="P1274" s="27"/>
      <c r="Q1274" s="27"/>
      <c r="R1274" s="27"/>
    </row>
    <row r="1275" spans="2:18" s="25" customFormat="1" x14ac:dyDescent="0.25">
      <c r="B1275" s="350"/>
      <c r="D1275" s="355"/>
      <c r="I1275" s="58"/>
      <c r="M1275" s="27"/>
      <c r="N1275" s="27"/>
      <c r="O1275" s="27"/>
      <c r="P1275" s="27"/>
      <c r="Q1275" s="27"/>
      <c r="R1275" s="27"/>
    </row>
    <row r="1276" spans="2:18" s="25" customFormat="1" x14ac:dyDescent="0.25">
      <c r="B1276" s="350"/>
      <c r="D1276" s="355"/>
      <c r="I1276" s="58"/>
      <c r="M1276" s="27"/>
      <c r="N1276" s="27"/>
      <c r="O1276" s="27"/>
      <c r="P1276" s="27"/>
      <c r="Q1276" s="27"/>
      <c r="R1276" s="27"/>
    </row>
    <row r="1277" spans="2:18" s="25" customFormat="1" x14ac:dyDescent="0.25">
      <c r="B1277" s="350"/>
      <c r="D1277" s="355"/>
      <c r="I1277" s="58"/>
      <c r="M1277" s="27"/>
      <c r="N1277" s="27"/>
      <c r="O1277" s="27"/>
      <c r="P1277" s="27"/>
      <c r="Q1277" s="27"/>
      <c r="R1277" s="27"/>
    </row>
    <row r="1278" spans="2:18" s="25" customFormat="1" x14ac:dyDescent="0.25">
      <c r="B1278" s="350"/>
      <c r="D1278" s="355"/>
      <c r="I1278" s="58"/>
      <c r="M1278" s="27"/>
      <c r="N1278" s="27"/>
      <c r="O1278" s="27"/>
      <c r="P1278" s="27"/>
      <c r="Q1278" s="27"/>
      <c r="R1278" s="27"/>
    </row>
    <row r="1279" spans="2:18" s="25" customFormat="1" x14ac:dyDescent="0.25">
      <c r="B1279" s="350"/>
      <c r="D1279" s="355"/>
      <c r="I1279" s="58"/>
      <c r="M1279" s="27"/>
      <c r="N1279" s="27"/>
      <c r="O1279" s="27"/>
      <c r="P1279" s="27"/>
      <c r="Q1279" s="27"/>
      <c r="R1279" s="27"/>
    </row>
    <row r="1280" spans="2:18" s="25" customFormat="1" x14ac:dyDescent="0.25">
      <c r="B1280" s="350"/>
      <c r="D1280" s="355"/>
      <c r="I1280" s="58"/>
      <c r="M1280" s="27"/>
      <c r="N1280" s="27"/>
      <c r="O1280" s="27"/>
      <c r="P1280" s="27"/>
      <c r="Q1280" s="27"/>
      <c r="R1280" s="27"/>
    </row>
    <row r="1281" spans="1:347" s="25" customFormat="1" x14ac:dyDescent="0.25">
      <c r="B1281" s="350"/>
      <c r="D1281" s="355"/>
      <c r="I1281" s="58"/>
      <c r="M1281" s="27"/>
      <c r="N1281" s="27"/>
      <c r="O1281" s="27"/>
      <c r="P1281" s="27"/>
      <c r="Q1281" s="27"/>
      <c r="R1281" s="27"/>
    </row>
    <row r="1282" spans="1:347" s="25" customFormat="1" x14ac:dyDescent="0.25">
      <c r="B1282" s="350"/>
      <c r="D1282" s="355"/>
      <c r="I1282" s="58"/>
      <c r="M1282" s="27"/>
      <c r="N1282" s="27"/>
      <c r="O1282" s="27"/>
      <c r="P1282" s="27"/>
      <c r="Q1282" s="27"/>
      <c r="R1282" s="27"/>
    </row>
    <row r="1283" spans="1:347" s="25" customFormat="1" x14ac:dyDescent="0.25">
      <c r="B1283" s="350"/>
      <c r="D1283" s="355"/>
      <c r="I1283" s="58"/>
      <c r="M1283" s="27"/>
      <c r="N1283" s="27"/>
      <c r="O1283" s="27"/>
      <c r="P1283" s="27"/>
      <c r="Q1283" s="27"/>
      <c r="R1283" s="27"/>
    </row>
    <row r="1284" spans="1:347" s="25" customFormat="1" x14ac:dyDescent="0.25">
      <c r="B1284" s="350"/>
      <c r="D1284" s="355"/>
      <c r="I1284" s="58"/>
      <c r="M1284" s="27"/>
      <c r="N1284" s="27"/>
      <c r="O1284" s="27"/>
      <c r="P1284" s="27"/>
      <c r="Q1284" s="27"/>
      <c r="R1284" s="27"/>
    </row>
    <row r="1285" spans="1:347" s="25" customFormat="1" x14ac:dyDescent="0.25">
      <c r="B1285" s="350"/>
      <c r="D1285" s="355"/>
      <c r="I1285" s="58"/>
      <c r="M1285" s="27"/>
      <c r="N1285" s="27"/>
      <c r="O1285" s="27"/>
      <c r="P1285" s="27"/>
      <c r="Q1285" s="27"/>
      <c r="R1285" s="27"/>
    </row>
    <row r="1286" spans="1:347" x14ac:dyDescent="0.25">
      <c r="A1286" s="25"/>
      <c r="B1286" s="350"/>
      <c r="C1286" s="25"/>
      <c r="D1286" s="355"/>
      <c r="E1286" s="25"/>
      <c r="F1286" s="25"/>
      <c r="G1286" s="25"/>
      <c r="H1286" s="25"/>
      <c r="I1286" s="58"/>
      <c r="J1286" s="25"/>
      <c r="K1286" s="25"/>
      <c r="L1286" s="25"/>
      <c r="M1286" s="27"/>
      <c r="N1286" s="27"/>
      <c r="O1286" s="27"/>
      <c r="P1286" s="27"/>
      <c r="Q1286" s="27"/>
      <c r="R1286" s="27"/>
      <c r="S1286" s="25"/>
      <c r="T1286" s="25"/>
      <c r="U1286" s="25"/>
      <c r="V1286" s="28"/>
      <c r="W1286" s="28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  <c r="FS1286" s="6"/>
      <c r="FT1286" s="6"/>
      <c r="FU1286" s="6"/>
      <c r="FV1286" s="6"/>
      <c r="FW1286" s="6"/>
      <c r="FX1286" s="6"/>
      <c r="FY1286" s="6"/>
      <c r="FZ1286" s="6"/>
      <c r="GA1286" s="6"/>
      <c r="GB1286" s="6"/>
      <c r="GC1286" s="6"/>
      <c r="GD1286" s="6"/>
      <c r="GE1286" s="6"/>
      <c r="GF1286" s="6"/>
      <c r="GG1286" s="6"/>
      <c r="GH1286" s="6"/>
      <c r="GI1286" s="6"/>
      <c r="GJ1286" s="6"/>
      <c r="GK1286" s="6"/>
      <c r="GL1286" s="6"/>
      <c r="GM1286" s="6"/>
      <c r="GN1286" s="6"/>
      <c r="GO1286" s="6"/>
      <c r="GP1286" s="6"/>
      <c r="GQ1286" s="6"/>
      <c r="GR1286" s="6"/>
      <c r="GS1286" s="6"/>
      <c r="GT1286" s="6"/>
      <c r="GU1286" s="6"/>
      <c r="GV1286" s="6"/>
      <c r="GW1286" s="6"/>
      <c r="GX1286" s="6"/>
      <c r="GY1286" s="6"/>
      <c r="GZ1286" s="6"/>
      <c r="HA1286" s="6"/>
      <c r="HB1286" s="6"/>
      <c r="HC1286" s="6"/>
      <c r="HD1286" s="6"/>
      <c r="HE1286" s="6"/>
      <c r="HF1286" s="6"/>
      <c r="HG1286" s="6"/>
      <c r="HH1286" s="6"/>
      <c r="HI1286" s="6"/>
      <c r="HJ1286" s="6"/>
      <c r="HK1286" s="6"/>
      <c r="HL1286" s="6"/>
      <c r="HM1286" s="6"/>
      <c r="HN1286" s="6"/>
      <c r="HO1286" s="6"/>
      <c r="HP1286" s="6"/>
      <c r="HQ1286" s="6"/>
      <c r="HR1286" s="6"/>
      <c r="HS1286" s="6"/>
      <c r="HT1286" s="6"/>
      <c r="HU1286" s="6"/>
      <c r="HV1286" s="6"/>
      <c r="HW1286" s="6"/>
      <c r="HX1286" s="6"/>
      <c r="HY1286" s="6"/>
      <c r="HZ1286" s="6"/>
      <c r="IA1286" s="6"/>
      <c r="IB1286" s="6"/>
      <c r="IC1286" s="6"/>
      <c r="ID1286" s="6"/>
      <c r="IE1286" s="6"/>
      <c r="IF1286" s="6"/>
      <c r="IG1286" s="6"/>
      <c r="IH1286" s="6"/>
      <c r="II1286" s="6"/>
      <c r="IJ1286" s="6"/>
      <c r="IK1286" s="6"/>
      <c r="IL1286" s="6"/>
      <c r="IM1286" s="6"/>
      <c r="IN1286" s="6"/>
      <c r="IO1286" s="6"/>
      <c r="IP1286" s="6"/>
      <c r="IQ1286" s="6"/>
      <c r="IR1286" s="6"/>
      <c r="IS1286" s="6"/>
      <c r="IT1286" s="6"/>
      <c r="IU1286" s="6"/>
      <c r="IV1286" s="6"/>
      <c r="IW1286" s="6"/>
      <c r="IX1286" s="6"/>
      <c r="IY1286" s="6"/>
      <c r="IZ1286" s="6"/>
      <c r="JA1286" s="6"/>
      <c r="JB1286" s="6"/>
      <c r="JC1286" s="6"/>
      <c r="JD1286" s="6"/>
      <c r="JE1286" s="6"/>
      <c r="JF1286" s="6"/>
      <c r="JG1286" s="6"/>
      <c r="JH1286" s="6"/>
      <c r="JI1286" s="6"/>
      <c r="JJ1286" s="6"/>
      <c r="JK1286" s="6"/>
      <c r="JL1286" s="6"/>
      <c r="JM1286" s="6"/>
      <c r="JN1286" s="6"/>
      <c r="JO1286" s="6"/>
      <c r="JP1286" s="6"/>
      <c r="JQ1286" s="6"/>
      <c r="JR1286" s="6"/>
      <c r="JS1286" s="6"/>
      <c r="JT1286" s="6"/>
      <c r="JU1286" s="6"/>
      <c r="JV1286" s="6"/>
      <c r="JW1286" s="6"/>
      <c r="JX1286" s="6"/>
      <c r="JY1286" s="6"/>
      <c r="JZ1286" s="6"/>
      <c r="KA1286" s="6"/>
      <c r="KB1286" s="6"/>
      <c r="KC1286" s="6"/>
      <c r="KD1286" s="6"/>
      <c r="KE1286" s="6"/>
      <c r="KF1286" s="6"/>
      <c r="KG1286" s="6"/>
      <c r="KH1286" s="6"/>
      <c r="KI1286" s="6"/>
      <c r="KJ1286" s="6"/>
      <c r="KK1286" s="6"/>
      <c r="KL1286" s="6"/>
      <c r="KM1286" s="6"/>
      <c r="KN1286" s="6"/>
      <c r="KO1286" s="6"/>
      <c r="KP1286" s="6"/>
      <c r="KQ1286" s="6"/>
      <c r="KR1286" s="6"/>
      <c r="KS1286" s="6"/>
      <c r="KT1286" s="6"/>
      <c r="KU1286" s="6"/>
      <c r="KV1286" s="6"/>
      <c r="KW1286" s="6"/>
      <c r="KX1286" s="6"/>
      <c r="KY1286" s="6"/>
      <c r="KZ1286" s="6"/>
      <c r="LA1286" s="6"/>
      <c r="LB1286" s="6"/>
      <c r="LC1286" s="6"/>
      <c r="LD1286" s="6"/>
      <c r="LE1286" s="6"/>
      <c r="LF1286" s="6"/>
      <c r="LG1286" s="6"/>
      <c r="LH1286" s="6"/>
      <c r="LI1286" s="6"/>
      <c r="LJ1286" s="6"/>
      <c r="LK1286" s="6"/>
      <c r="LL1286" s="6"/>
      <c r="LM1286" s="6"/>
      <c r="LN1286" s="6"/>
      <c r="LO1286" s="6"/>
      <c r="LP1286" s="6"/>
      <c r="LQ1286" s="6"/>
      <c r="LR1286" s="6"/>
      <c r="LS1286" s="6"/>
      <c r="LT1286" s="6"/>
      <c r="LU1286" s="6"/>
      <c r="LV1286" s="6"/>
      <c r="LW1286" s="6"/>
      <c r="LX1286" s="6"/>
      <c r="LY1286" s="6"/>
      <c r="LZ1286" s="6"/>
      <c r="MA1286" s="6"/>
      <c r="MB1286" s="6"/>
      <c r="MC1286" s="6"/>
      <c r="MD1286" s="6"/>
      <c r="ME1286" s="6"/>
      <c r="MF1286" s="6"/>
      <c r="MG1286" s="6"/>
      <c r="MH1286" s="6"/>
      <c r="MI1286" s="6"/>
    </row>
    <row r="1287" spans="1:347" x14ac:dyDescent="0.25">
      <c r="A1287" s="25"/>
      <c r="B1287" s="350"/>
      <c r="C1287" s="25"/>
      <c r="D1287" s="355"/>
      <c r="E1287" s="25"/>
      <c r="F1287" s="25"/>
      <c r="G1287" s="25"/>
      <c r="H1287" s="25"/>
      <c r="I1287" s="58"/>
      <c r="J1287" s="25"/>
      <c r="K1287" s="25"/>
      <c r="L1287" s="25"/>
      <c r="M1287" s="27"/>
      <c r="N1287" s="27"/>
      <c r="O1287" s="27"/>
      <c r="P1287" s="27"/>
      <c r="Q1287" s="27"/>
      <c r="R1287" s="27"/>
      <c r="S1287" s="28"/>
      <c r="T1287" s="28"/>
      <c r="U1287" s="28"/>
      <c r="V1287" s="28"/>
      <c r="W1287" s="28"/>
    </row>
  </sheetData>
  <sheetProtection sort="0" autoFilter="0"/>
  <autoFilter ref="A2:MI74" xr:uid="{00000000-0009-0000-0000-000003000000}"/>
  <sortState xmlns:xlrd2="http://schemas.microsoft.com/office/spreadsheetml/2017/richdata2" ref="A1:N940">
    <sortCondition ref="E1:E2"/>
  </sortState>
  <mergeCells count="51">
    <mergeCell ref="AE1:AE2"/>
    <mergeCell ref="A1:A2"/>
    <mergeCell ref="I1:I2"/>
    <mergeCell ref="R1:R2"/>
    <mergeCell ref="O1:O2"/>
    <mergeCell ref="Q1:Q2"/>
    <mergeCell ref="M1:M2"/>
    <mergeCell ref="E1:E2"/>
    <mergeCell ref="F1:F2"/>
    <mergeCell ref="G1:G2"/>
    <mergeCell ref="H1:H2"/>
    <mergeCell ref="P1:P2"/>
    <mergeCell ref="K1:K2"/>
    <mergeCell ref="N1:N2"/>
    <mergeCell ref="C1:C2"/>
    <mergeCell ref="D1:D2"/>
    <mergeCell ref="L1:L2"/>
    <mergeCell ref="AA1:AA2"/>
    <mergeCell ref="W1:W2"/>
    <mergeCell ref="V1:V2"/>
    <mergeCell ref="AD1:AD2"/>
    <mergeCell ref="U1:U2"/>
    <mergeCell ref="Z1:Z2"/>
    <mergeCell ref="AC1:AC2"/>
    <mergeCell ref="A774:B774"/>
    <mergeCell ref="E774:K774"/>
    <mergeCell ref="A775:K775"/>
    <mergeCell ref="M769:N769"/>
    <mergeCell ref="I791:J791"/>
    <mergeCell ref="A770:B772"/>
    <mergeCell ref="E770:K770"/>
    <mergeCell ref="E771:K771"/>
    <mergeCell ref="E772:K772"/>
    <mergeCell ref="A777:K777"/>
    <mergeCell ref="A773:B773"/>
    <mergeCell ref="M761:N761"/>
    <mergeCell ref="E773:K773"/>
    <mergeCell ref="J1:J2"/>
    <mergeCell ref="A765:K765"/>
    <mergeCell ref="A766:K766"/>
    <mergeCell ref="A761:K761"/>
    <mergeCell ref="A767:K767"/>
    <mergeCell ref="A768:K768"/>
    <mergeCell ref="A769:B769"/>
    <mergeCell ref="E769:K769"/>
    <mergeCell ref="A760:X760"/>
    <mergeCell ref="A762:K762"/>
    <mergeCell ref="B1:B2"/>
    <mergeCell ref="S1:S2"/>
    <mergeCell ref="X1:X2"/>
    <mergeCell ref="T1:T2"/>
  </mergeCells>
  <pageMargins left="0.15748031496062992" right="0.15748031496062992" top="0.62992125984251968" bottom="0.31496062992125984" header="0.27559055118110237" footer="0.11811023622047245"/>
  <pageSetup paperSize="9" scale="44" fitToHeight="6" orientation="landscape" r:id="rId1"/>
  <headerFooter>
    <oddHeader>&amp;C&amp;"-,Negrito"&amp;12PLANILHA DE COMPOSIÇÃO DE CUSTOSRELATÓRIO DE CUSTO DETALHADO</oddHeader>
    <oddFooter>&amp;R&amp;P/&amp;N</oddFooter>
  </headerFooter>
  <ignoredErrors>
    <ignoredError sqref="AD34:AD36 AD20:AD30 AC6:AC38 AC53:AD6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GK490"/>
  <sheetViews>
    <sheetView showGridLines="0" zoomScaleNormal="100" workbookViewId="0">
      <selection sqref="A1:K1"/>
    </sheetView>
  </sheetViews>
  <sheetFormatPr defaultRowHeight="15" x14ac:dyDescent="0.25"/>
  <cols>
    <col min="1" max="1" width="7" customWidth="1"/>
    <col min="2" max="2" width="39" customWidth="1"/>
    <col min="3" max="3" width="10.85546875" bestFit="1" customWidth="1"/>
    <col min="4" max="4" width="5" style="238" customWidth="1"/>
    <col min="5" max="5" width="3.28515625" customWidth="1"/>
    <col min="6" max="6" width="13.28515625" bestFit="1" customWidth="1"/>
    <col min="7" max="7" width="11" customWidth="1"/>
    <col min="8" max="8" width="8.5703125" bestFit="1" customWidth="1"/>
    <col min="9" max="9" width="14" customWidth="1"/>
    <col min="10" max="10" width="12" customWidth="1"/>
    <col min="11" max="11" width="15" customWidth="1"/>
    <col min="12" max="12" width="10.85546875" style="76" customWidth="1"/>
    <col min="13" max="13" width="11.42578125" style="76" bestFit="1" customWidth="1"/>
    <col min="14" max="14" width="10.85546875" style="76" bestFit="1" customWidth="1"/>
    <col min="15" max="15" width="10.5703125" style="76" bestFit="1" customWidth="1"/>
    <col min="16" max="193" width="9.140625" style="76"/>
  </cols>
  <sheetData>
    <row r="1" spans="1:193" ht="21.75" customHeight="1" x14ac:dyDescent="0.25">
      <c r="A1" s="473" t="s">
        <v>213</v>
      </c>
      <c r="B1" s="474"/>
      <c r="C1" s="474"/>
      <c r="D1" s="474"/>
      <c r="E1" s="474"/>
      <c r="F1" s="474"/>
      <c r="G1" s="474"/>
      <c r="H1" s="474"/>
      <c r="I1" s="474"/>
      <c r="J1" s="474"/>
      <c r="K1" s="475"/>
    </row>
    <row r="2" spans="1:193" ht="22.5" x14ac:dyDescent="0.25">
      <c r="A2" s="189" t="s">
        <v>99</v>
      </c>
      <c r="B2" s="463" t="s">
        <v>162</v>
      </c>
      <c r="C2" s="464"/>
      <c r="D2" s="464"/>
      <c r="E2" s="465"/>
      <c r="F2" s="190" t="s">
        <v>163</v>
      </c>
      <c r="G2" s="190" t="s">
        <v>164</v>
      </c>
      <c r="H2" s="188" t="s">
        <v>214</v>
      </c>
      <c r="I2" s="190" t="s">
        <v>215</v>
      </c>
      <c r="J2" s="191" t="s">
        <v>134</v>
      </c>
      <c r="K2" s="191" t="s">
        <v>216</v>
      </c>
    </row>
    <row r="3" spans="1:193" x14ac:dyDescent="0.25">
      <c r="A3" s="77">
        <v>690001</v>
      </c>
      <c r="B3" s="460" t="str">
        <f>VLOOKUP(A3,'Tabela de Códigos e Valores'!A:B,2,FALSE)</f>
        <v>Auxiliar de limpeza - diurno - 44 horas semanais (segunda a sexta-feira)</v>
      </c>
      <c r="C3" s="461"/>
      <c r="D3" s="461"/>
      <c r="E3" s="462"/>
      <c r="F3" s="176" t="str">
        <f>VLOOKUP($A3,'Tabela de Códigos e Valores'!$A:$M,5,FALSE)</f>
        <v>Posto</v>
      </c>
      <c r="G3" s="176" t="str">
        <f>VLOOKUP($A3,'Tabela de Códigos e Valores'!$A:$M,6,FALSE)</f>
        <v>Mensal</v>
      </c>
      <c r="H3" s="239">
        <f>SUMIF('Relatório Custo'!$E:$E,$A3,'Relatório Custo'!$K:$K)</f>
        <v>2</v>
      </c>
      <c r="I3" s="78">
        <f>IF(F3="Posto",SUMIF('Relatório Custo'!$E:$E,$A3,'Relatório Custo'!$Z:$Z),0)</f>
        <v>3434.4</v>
      </c>
      <c r="J3" s="78">
        <f>SUMIF('Relatório Custo'!$E:$E,$A3,'Relatório Custo'!$V:$V)</f>
        <v>11337.07</v>
      </c>
      <c r="K3" s="78">
        <f>SUMIF('Relatório Custo'!$E:$E,$A3,'Relatório Custo'!$X:$X)</f>
        <v>340112.10000000003</v>
      </c>
      <c r="L3" s="79"/>
      <c r="M3" s="79"/>
      <c r="N3" s="80"/>
    </row>
    <row r="4" spans="1:193" x14ac:dyDescent="0.25">
      <c r="A4" s="77">
        <v>690002</v>
      </c>
      <c r="B4" s="460" t="str">
        <f>VLOOKUP(A4,'Tabela de Códigos e Valores'!A:B,2,FALSE)</f>
        <v>Auxiliar de limpeza - diurno - 24 horas  semanais</v>
      </c>
      <c r="C4" s="461"/>
      <c r="D4" s="461"/>
      <c r="E4" s="462"/>
      <c r="F4" s="176" t="str">
        <f>VLOOKUP($A4,'Tabela de Códigos e Valores'!$A:$M,5,FALSE)</f>
        <v>Posto</v>
      </c>
      <c r="G4" s="176" t="str">
        <f>VLOOKUP($A4,'Tabela de Códigos e Valores'!$A:$M,6,FALSE)</f>
        <v>Mensal</v>
      </c>
      <c r="H4" s="239">
        <f>SUMIF('Relatório Custo'!$E:$E,$A4,'Relatório Custo'!$K:$K)</f>
        <v>2</v>
      </c>
      <c r="I4" s="78">
        <f>IF(F4="Posto",SUMIF('Relatório Custo'!$E:$E,$A4,'Relatório Custo'!$Z:$Z),0)</f>
        <v>2060.64</v>
      </c>
      <c r="J4" s="78">
        <f>SUMIF('Relatório Custo'!$E:$E,$A4,'Relatório Custo'!$V:$V)</f>
        <v>6699.2199999999993</v>
      </c>
      <c r="K4" s="78">
        <f>SUMIF('Relatório Custo'!$E:$E,$A4,'Relatório Custo'!$X:$X)</f>
        <v>200976.59999999998</v>
      </c>
      <c r="L4" s="79"/>
      <c r="M4" s="79"/>
    </row>
    <row r="5" spans="1:193" x14ac:dyDescent="0.25">
      <c r="A5" s="77">
        <v>690003</v>
      </c>
      <c r="B5" s="460" t="str">
        <f>VLOOKUP(A5,'Tabela de Códigos e Valores'!A:B,2,FALSE)</f>
        <v>Auxiliar de limpeza - noturno - 44 horas  semanais</v>
      </c>
      <c r="C5" s="461"/>
      <c r="D5" s="461"/>
      <c r="E5" s="462"/>
      <c r="F5" s="176" t="str">
        <f>VLOOKUP($A5,'Tabela de Códigos e Valores'!$A:$M,5,FALSE)</f>
        <v>Posto</v>
      </c>
      <c r="G5" s="176" t="str">
        <f>VLOOKUP($A5,'Tabela de Códigos e Valores'!$A:$M,6,FALSE)</f>
        <v>Mensal</v>
      </c>
      <c r="H5" s="239">
        <f>SUMIF('Relatório Custo'!$E:$E,$A5,'Relatório Custo'!$K:$K)</f>
        <v>2</v>
      </c>
      <c r="I5" s="78">
        <f>IF(F5="Posto",SUMIF('Relatório Custo'!$E:$E,$A5,'Relatório Custo'!$Z:$Z),0)</f>
        <v>4165</v>
      </c>
      <c r="J5" s="78">
        <f>SUMIF('Relatório Custo'!$E:$E,$A5,'Relatório Custo'!$V:$V)</f>
        <v>13235.69</v>
      </c>
      <c r="K5" s="78">
        <f>SUMIF('Relatório Custo'!$E:$E,$A5,'Relatório Custo'!$X:$X)</f>
        <v>397070.7</v>
      </c>
      <c r="L5" s="79"/>
      <c r="M5" s="79"/>
    </row>
    <row r="6" spans="1:193" x14ac:dyDescent="0.25">
      <c r="A6" s="77">
        <v>690004</v>
      </c>
      <c r="B6" s="460" t="str">
        <f>VLOOKUP(A6,'Tabela de Códigos e Valores'!A:B,2,FALSE)</f>
        <v>Serviço de limpeza - plantonista - domingos e feriados (5 horas)</v>
      </c>
      <c r="C6" s="461"/>
      <c r="D6" s="461"/>
      <c r="E6" s="462"/>
      <c r="F6" s="176" t="str">
        <f>VLOOKUP($A6,'Tabela de Códigos e Valores'!$A:$M,5,FALSE)</f>
        <v>Plantão - Dom/Fer</v>
      </c>
      <c r="G6" s="176" t="str">
        <f>VLOOKUP($A6,'Tabela de Códigos e Valores'!$A:$M,6,FALSE)</f>
        <v>Mensal</v>
      </c>
      <c r="H6" s="239">
        <f>SUMIF('Relatório Custo'!$E:$E,$A6,'Relatório Custo'!$K:$K)</f>
        <v>2</v>
      </c>
      <c r="I6" s="78">
        <f>IF(F6="Posto",SUMIF('Relatório Custo'!$E:$E,$A6,'Relatório Custo'!$Z:$Z),0)</f>
        <v>0</v>
      </c>
      <c r="J6" s="78">
        <f>SUMIF('Relatório Custo'!$E:$E,$A6,'Relatório Custo'!$V:$V)</f>
        <v>2609.7799999999997</v>
      </c>
      <c r="K6" s="78">
        <f>SUMIF('Relatório Custo'!$E:$E,$A6,'Relatório Custo'!$X:$X)</f>
        <v>78293.399999999994</v>
      </c>
      <c r="L6" s="79"/>
      <c r="M6" s="79"/>
    </row>
    <row r="7" spans="1:193" s="83" customFormat="1" x14ac:dyDescent="0.25">
      <c r="A7" s="77">
        <v>690013</v>
      </c>
      <c r="B7" s="460" t="str">
        <f>VLOOKUP(A7,'Tabela de Códigos e Valores'!A:B,2,FALSE)</f>
        <v>Limpador(a) de vidros - diurno - 44 horas semanais</v>
      </c>
      <c r="C7" s="461"/>
      <c r="D7" s="461"/>
      <c r="E7" s="462"/>
      <c r="F7" s="176" t="str">
        <f>VLOOKUP($A7,'Tabela de Códigos e Valores'!$A:$M,5,FALSE)</f>
        <v>Posto</v>
      </c>
      <c r="G7" s="176" t="str">
        <f>VLOOKUP($A7,'Tabela de Códigos e Valores'!$A:$M,6,FALSE)</f>
        <v>Mensal</v>
      </c>
      <c r="H7" s="239">
        <f>SUMIF('Relatório Custo'!$E:$E,$A7,'Relatório Custo'!$K:$K)</f>
        <v>2</v>
      </c>
      <c r="I7" s="78">
        <f>IF(F7="Posto",SUMIF('Relatório Custo'!$E:$E,$A7,'Relatório Custo'!$Z:$Z),0)</f>
        <v>3764.68</v>
      </c>
      <c r="J7" s="78">
        <f>SUMIF('Relatório Custo'!$E:$E,$A7,'Relatório Custo'!$V:$V)</f>
        <v>12296.04</v>
      </c>
      <c r="K7" s="78">
        <f>SUMIF('Relatório Custo'!$E:$E,$A7,'Relatório Custo'!$X:$X)</f>
        <v>368881.2</v>
      </c>
      <c r="L7" s="81"/>
      <c r="M7" s="81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  <c r="FG7" s="82"/>
      <c r="FH7" s="82"/>
      <c r="FI7" s="82"/>
      <c r="FJ7" s="82"/>
      <c r="FK7" s="82"/>
      <c r="FL7" s="82"/>
      <c r="FM7" s="82"/>
      <c r="FN7" s="82"/>
      <c r="FO7" s="82"/>
      <c r="FP7" s="82"/>
      <c r="FQ7" s="82"/>
      <c r="FR7" s="82"/>
      <c r="FS7" s="82"/>
      <c r="FT7" s="82"/>
      <c r="FU7" s="82"/>
      <c r="FV7" s="82"/>
      <c r="FW7" s="82"/>
      <c r="FX7" s="82"/>
      <c r="FY7" s="82"/>
      <c r="FZ7" s="82"/>
      <c r="GA7" s="82"/>
      <c r="GB7" s="82"/>
      <c r="GC7" s="82"/>
      <c r="GD7" s="82"/>
      <c r="GE7" s="82"/>
      <c r="GF7" s="82"/>
      <c r="GG7" s="82"/>
      <c r="GH7" s="82"/>
      <c r="GI7" s="82"/>
      <c r="GJ7" s="82"/>
      <c r="GK7" s="82"/>
    </row>
    <row r="8" spans="1:193" s="83" customFormat="1" x14ac:dyDescent="0.25">
      <c r="A8" s="77">
        <v>690014</v>
      </c>
      <c r="B8" s="460" t="str">
        <f>VLOOKUP(A8,'Tabela de Códigos e Valores'!A:B,2,FALSE)</f>
        <v>Limpador(a) de vidros - noturno - 44 horas semanais</v>
      </c>
      <c r="C8" s="461"/>
      <c r="D8" s="461"/>
      <c r="E8" s="462"/>
      <c r="F8" s="176" t="str">
        <f>VLOOKUP($A8,'Tabela de Códigos e Valores'!$A:$M,5,FALSE)</f>
        <v>Posto</v>
      </c>
      <c r="G8" s="176" t="str">
        <f>VLOOKUP($A8,'Tabela de Códigos e Valores'!$A:$M,6,FALSE)</f>
        <v>Mensal</v>
      </c>
      <c r="H8" s="239">
        <f>SUMIF('Relatório Custo'!$E:$E,$A8,'Relatório Custo'!$K:$K)</f>
        <v>2</v>
      </c>
      <c r="I8" s="78">
        <f>IF(F8="Posto",SUMIF('Relatório Custo'!$E:$E,$A8,'Relatório Custo'!$Z:$Z),0)</f>
        <v>4805.78</v>
      </c>
      <c r="J8" s="78">
        <f>SUMIF('Relatório Custo'!$E:$E,$A8,'Relatório Custo'!$V:$V)</f>
        <v>15001.55</v>
      </c>
      <c r="K8" s="78">
        <f>SUMIF('Relatório Custo'!$E:$E,$A8,'Relatório Custo'!$X:$X)</f>
        <v>450046.5</v>
      </c>
      <c r="L8" s="81"/>
      <c r="M8" s="81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  <c r="FG8" s="82"/>
      <c r="FH8" s="82"/>
      <c r="FI8" s="82"/>
      <c r="FJ8" s="82"/>
      <c r="FK8" s="82"/>
      <c r="FL8" s="82"/>
      <c r="FM8" s="82"/>
      <c r="FN8" s="82"/>
      <c r="FO8" s="82"/>
      <c r="FP8" s="82"/>
      <c r="FQ8" s="82"/>
      <c r="FR8" s="82"/>
      <c r="FS8" s="82"/>
      <c r="FT8" s="82"/>
      <c r="FU8" s="82"/>
      <c r="FV8" s="82"/>
      <c r="FW8" s="82"/>
      <c r="FX8" s="82"/>
      <c r="FY8" s="82"/>
      <c r="FZ8" s="82"/>
      <c r="GA8" s="82"/>
      <c r="GB8" s="82"/>
      <c r="GC8" s="82"/>
      <c r="GD8" s="82"/>
      <c r="GE8" s="82"/>
      <c r="GF8" s="82"/>
      <c r="GG8" s="82"/>
      <c r="GH8" s="82"/>
      <c r="GI8" s="82"/>
      <c r="GJ8" s="82"/>
      <c r="GK8" s="82"/>
    </row>
    <row r="9" spans="1:193" s="83" customFormat="1" x14ac:dyDescent="0.25">
      <c r="A9" s="77">
        <v>690015</v>
      </c>
      <c r="B9" s="460" t="str">
        <f>VLOOKUP(A9,'Tabela de Códigos e Valores'!A:B,2,FALSE)</f>
        <v>Limpador(a) de vidros com exposição à risco - diurno - 44 horas semanais</v>
      </c>
      <c r="C9" s="461"/>
      <c r="D9" s="461"/>
      <c r="E9" s="462"/>
      <c r="F9" s="176" t="str">
        <f>VLOOKUP($A9,'Tabela de Códigos e Valores'!$A:$M,5,FALSE)</f>
        <v>Posto</v>
      </c>
      <c r="G9" s="176" t="str">
        <f>VLOOKUP($A9,'Tabela de Códigos e Valores'!$A:$M,6,FALSE)</f>
        <v>Mensal</v>
      </c>
      <c r="H9" s="239">
        <f>SUMIF('Relatório Custo'!$E:$E,$A9,'Relatório Custo'!$K:$K)</f>
        <v>2</v>
      </c>
      <c r="I9" s="78">
        <f>IF(F9="Posto",SUMIF('Relatório Custo'!$E:$E,$A9,'Relatório Custo'!$Z:$Z),0)</f>
        <v>4894.08</v>
      </c>
      <c r="J9" s="78">
        <f>SUMIF('Relatório Custo'!$E:$E,$A9,'Relatório Custo'!$V:$V)</f>
        <v>15231.01</v>
      </c>
      <c r="K9" s="78">
        <f>SUMIF('Relatório Custo'!$E:$E,$A9,'Relatório Custo'!$X:$X)</f>
        <v>456930.3</v>
      </c>
      <c r="L9" s="81"/>
      <c r="M9" s="81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</row>
    <row r="10" spans="1:193" s="83" customFormat="1" x14ac:dyDescent="0.25">
      <c r="A10" s="77">
        <v>690016</v>
      </c>
      <c r="B10" s="460" t="str">
        <f>VLOOKUP(A10,'Tabela de Códigos e Valores'!A:B,2,FALSE)</f>
        <v>Limpador(a) de vidros com exposição à risco - diurno - 24 horas semanais</v>
      </c>
      <c r="C10" s="461"/>
      <c r="D10" s="461"/>
      <c r="E10" s="462"/>
      <c r="F10" s="176" t="str">
        <f>VLOOKUP($A10,'Tabela de Códigos e Valores'!$A:$M,5,FALSE)</f>
        <v>Posto</v>
      </c>
      <c r="G10" s="176" t="str">
        <f>VLOOKUP($A10,'Tabela de Códigos e Valores'!$A:$M,6,FALSE)</f>
        <v>Mensal</v>
      </c>
      <c r="H10" s="239">
        <f>SUMIF('Relatório Custo'!$E:$E,$A10,'Relatório Custo'!$K:$K)</f>
        <v>2</v>
      </c>
      <c r="I10" s="78">
        <f>IF(F10="Posto",SUMIF('Relatório Custo'!$E:$E,$A10,'Relatório Custo'!$Z:$Z),0)</f>
        <v>2936.44</v>
      </c>
      <c r="J10" s="78">
        <f>SUMIF('Relatório Custo'!$E:$E,$A10,'Relatório Custo'!$V:$V)</f>
        <v>9087.42</v>
      </c>
      <c r="K10" s="78">
        <f>SUMIF('Relatório Custo'!$E:$E,$A10,'Relatório Custo'!$X:$X)</f>
        <v>272622.59999999998</v>
      </c>
      <c r="L10" s="81"/>
      <c r="M10" s="81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</row>
    <row r="11" spans="1:193" s="83" customFormat="1" x14ac:dyDescent="0.25">
      <c r="A11" s="77">
        <v>690017</v>
      </c>
      <c r="B11" s="460" t="str">
        <f>VLOOKUP(A11,'Tabela de Códigos e Valores'!A:B,2,FALSE)</f>
        <v>Limpador(a) de vidros com exposição à risco - noturno - 44 horas semanais</v>
      </c>
      <c r="C11" s="461"/>
      <c r="D11" s="461"/>
      <c r="E11" s="462"/>
      <c r="F11" s="176" t="str">
        <f>VLOOKUP($A11,'Tabela de Códigos e Valores'!$A:$M,5,FALSE)</f>
        <v>Posto</v>
      </c>
      <c r="G11" s="176" t="str">
        <f>VLOOKUP($A11,'Tabela de Códigos e Valores'!$A:$M,6,FALSE)</f>
        <v>Mensal</v>
      </c>
      <c r="H11" s="239">
        <f>SUMIF('Relatório Custo'!$E:$E,$A11,'Relatório Custo'!$K:$K)</f>
        <v>2</v>
      </c>
      <c r="I11" s="78">
        <f>IF(F11="Posto",SUMIF('Relatório Custo'!$E:$E,$A11,'Relatório Custo'!$Z:$Z),0)</f>
        <v>5935.18</v>
      </c>
      <c r="J11" s="78">
        <f>SUMIF('Relatório Custo'!$E:$E,$A11,'Relatório Custo'!$V:$V)</f>
        <v>17936.489999999998</v>
      </c>
      <c r="K11" s="78">
        <f>SUMIF('Relatório Custo'!$E:$E,$A11,'Relatório Custo'!$X:$X)</f>
        <v>538094.69999999995</v>
      </c>
      <c r="L11" s="81"/>
      <c r="M11" s="81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</row>
    <row r="12" spans="1:193" s="83" customFormat="1" x14ac:dyDescent="0.25">
      <c r="A12" s="77">
        <v>690018</v>
      </c>
      <c r="B12" s="460" t="str">
        <f>VLOOKUP(A12,'Tabela de Códigos e Valores'!A:B,2,FALSE)</f>
        <v>Jardineiro(a) - 44 horas semanais</v>
      </c>
      <c r="C12" s="461"/>
      <c r="D12" s="461"/>
      <c r="E12" s="462"/>
      <c r="F12" s="176" t="str">
        <f>VLOOKUP($A12,'Tabela de Códigos e Valores'!$A:$M,5,FALSE)</f>
        <v>Posto</v>
      </c>
      <c r="G12" s="176" t="str">
        <f>VLOOKUP($A12,'Tabela de Códigos e Valores'!$A:$M,6,FALSE)</f>
        <v>Mensal</v>
      </c>
      <c r="H12" s="239">
        <f>SUMIF('Relatório Custo'!$E:$E,$A12,'Relatório Custo'!$K:$K)</f>
        <v>2</v>
      </c>
      <c r="I12" s="78">
        <f>IF(F12="Posto",SUMIF('Relatório Custo'!$E:$E,$A12,'Relatório Custo'!$Z:$Z),0)</f>
        <v>4157.74</v>
      </c>
      <c r="J12" s="78">
        <f>SUMIF('Relatório Custo'!$E:$E,$A12,'Relatório Custo'!$V:$V)</f>
        <v>12746.64</v>
      </c>
      <c r="K12" s="78">
        <f>SUMIF('Relatório Custo'!$E:$E,$A12,'Relatório Custo'!$X:$X)</f>
        <v>382399.2</v>
      </c>
      <c r="L12" s="81"/>
      <c r="M12" s="81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</row>
    <row r="13" spans="1:193" s="83" customFormat="1" x14ac:dyDescent="0.25">
      <c r="A13" s="77">
        <v>690019</v>
      </c>
      <c r="B13" s="460" t="str">
        <f>VLOOKUP(A13,'Tabela de Códigos e Valores'!A:B,2,FALSE)</f>
        <v>Jardineiro(a) - 24 horas semanais</v>
      </c>
      <c r="C13" s="461"/>
      <c r="D13" s="461"/>
      <c r="E13" s="462"/>
      <c r="F13" s="176" t="str">
        <f>VLOOKUP($A13,'Tabela de Códigos e Valores'!$A:$M,5,FALSE)</f>
        <v>Posto</v>
      </c>
      <c r="G13" s="176" t="str">
        <f>VLOOKUP($A13,'Tabela de Códigos e Valores'!$A:$M,6,FALSE)</f>
        <v>Mensal</v>
      </c>
      <c r="H13" s="239">
        <f>SUMIF('Relatório Custo'!$E:$E,$A13,'Relatório Custo'!$K:$K)</f>
        <v>2</v>
      </c>
      <c r="I13" s="78">
        <f>IF(F13="Posto",SUMIF('Relatório Custo'!$E:$E,$A13,'Relatório Custo'!$Z:$Z),0)</f>
        <v>2771.82</v>
      </c>
      <c r="J13" s="78">
        <f>SUMIF('Relatório Custo'!$E:$E,$A13,'Relatório Custo'!$V:$V)</f>
        <v>9266.5</v>
      </c>
      <c r="K13" s="78">
        <f>SUMIF('Relatório Custo'!$E:$E,$A13,'Relatório Custo'!$X:$X)</f>
        <v>277995</v>
      </c>
      <c r="L13" s="81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</row>
    <row r="14" spans="1:193" s="83" customFormat="1" x14ac:dyDescent="0.25">
      <c r="A14" s="77">
        <v>690020</v>
      </c>
      <c r="B14" s="460" t="str">
        <f>VLOOKUP(A14,'Tabela de Códigos e Valores'!A:B,2,FALSE)</f>
        <v>Serviço de Jardinagem</v>
      </c>
      <c r="C14" s="461"/>
      <c r="D14" s="461"/>
      <c r="E14" s="462"/>
      <c r="F14" s="176" t="str">
        <f>VLOOKUP($A14,'Tabela de Códigos e Valores'!$A:$M,5,FALSE)</f>
        <v>M2</v>
      </c>
      <c r="G14" s="176" t="str">
        <f>VLOOKUP($A14,'Tabela de Códigos e Valores'!$A:$M,6,FALSE)</f>
        <v>Mensal</v>
      </c>
      <c r="H14" s="239">
        <f>SUMIF('Relatório Custo'!$E:$E,$A14,'Relatório Custo'!$K:$K)</f>
        <v>2</v>
      </c>
      <c r="I14" s="78">
        <f>IF(F14="Posto",SUMIF('Relatório Custo'!$E:$E,$A14,'Relatório Custo'!$Z:$Z),0)</f>
        <v>0</v>
      </c>
      <c r="J14" s="78">
        <f>SUMIF('Relatório Custo'!$E:$E,$A14,'Relatório Custo'!$V:$V)</f>
        <v>2.16</v>
      </c>
      <c r="K14" s="78">
        <f>SUMIF('Relatório Custo'!$E:$E,$A14,'Relatório Custo'!$X:$X)</f>
        <v>64.800000000000011</v>
      </c>
      <c r="L14" s="81"/>
      <c r="M14" s="81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</row>
    <row r="15" spans="1:193" x14ac:dyDescent="0.25">
      <c r="A15" s="77">
        <v>690021</v>
      </c>
      <c r="B15" s="460" t="str">
        <f>VLOOKUP(A15,'Tabela de Códigos e Valores'!A:B,2,FALSE)</f>
        <v>Serviço de limpeza de vidros com exposição à situação de risco</v>
      </c>
      <c r="C15" s="461"/>
      <c r="D15" s="461"/>
      <c r="E15" s="462"/>
      <c r="F15" s="176" t="str">
        <f>VLOOKUP($A15,'Tabela de Códigos e Valores'!$A:$M,5,FALSE)</f>
        <v>M2</v>
      </c>
      <c r="G15" s="176" t="str">
        <f>VLOOKUP($A15,'Tabela de Códigos e Valores'!$A:$M,6,FALSE)</f>
        <v>Trimestral</v>
      </c>
      <c r="H15" s="239">
        <f>SUMIF('Relatório Custo'!$E:$E,$A15,'Relatório Custo'!$K:$K)</f>
        <v>2</v>
      </c>
      <c r="I15" s="78">
        <f>IF(F15="Posto",SUMIF('Relatório Custo'!$E:$E,$A15,'Relatório Custo'!$Z:$Z),0)</f>
        <v>0</v>
      </c>
      <c r="J15" s="78">
        <f>SUMIF('Relatório Custo'!$E:$E,$A15,'Relatório Custo'!$V:$V)</f>
        <v>5.71</v>
      </c>
      <c r="K15" s="78">
        <f>SUMIF('Relatório Custo'!$E:$E,$A15,'Relatório Custo'!$X:$X)</f>
        <v>57.1</v>
      </c>
      <c r="L15" s="79"/>
      <c r="M15" s="79"/>
    </row>
    <row r="16" spans="1:193" x14ac:dyDescent="0.25">
      <c r="A16" s="77">
        <v>690022</v>
      </c>
      <c r="B16" s="460" t="str">
        <f>VLOOKUP(A16,'Tabela de Códigos e Valores'!A:B,2,FALSE)</f>
        <v>Auxiliar de limpeza área médica - diurno - 44 horas semanais</v>
      </c>
      <c r="C16" s="461"/>
      <c r="D16" s="461"/>
      <c r="E16" s="462"/>
      <c r="F16" s="176" t="str">
        <f>VLOOKUP($A16,'Tabela de Códigos e Valores'!$A:$M,5,FALSE)</f>
        <v>Posto</v>
      </c>
      <c r="G16" s="176" t="str">
        <f>VLOOKUP($A16,'Tabela de Códigos e Valores'!$A:$M,6,FALSE)</f>
        <v>Mensal</v>
      </c>
      <c r="H16" s="239">
        <f>SUMIF('Relatório Custo'!$E:$E,$A16,'Relatório Custo'!$K:$K)</f>
        <v>2</v>
      </c>
      <c r="I16" s="78">
        <f>IF(F16="Posto",SUMIF('Relatório Custo'!$E:$E,$A16,'Relatório Custo'!$Z:$Z),0)</f>
        <v>4041.6000000000004</v>
      </c>
      <c r="J16" s="78">
        <f>SUMIF('Relatório Custo'!$E:$E,$A16,'Relatório Custo'!$V:$V)</f>
        <v>12940.33</v>
      </c>
      <c r="K16" s="78">
        <f>SUMIF('Relatório Custo'!$E:$E,$A16,'Relatório Custo'!$X:$X)</f>
        <v>388209.9</v>
      </c>
      <c r="L16" s="79"/>
      <c r="M16" s="79"/>
    </row>
    <row r="17" spans="1:193" x14ac:dyDescent="0.25">
      <c r="A17" s="77">
        <v>690025</v>
      </c>
      <c r="B17" s="460" t="str">
        <f>VLOOKUP(A17,'Tabela de Códigos e Valores'!A:B,2,FALSE)</f>
        <v>Serviço de limpeza - plantonista - sábado (5 horas)</v>
      </c>
      <c r="C17" s="461"/>
      <c r="D17" s="461"/>
      <c r="E17" s="462"/>
      <c r="F17" s="176" t="str">
        <f>VLOOKUP($A17,'Tabela de Códigos e Valores'!$A:$M,5,FALSE)</f>
        <v>Plantão - Sábado</v>
      </c>
      <c r="G17" s="176" t="str">
        <f>VLOOKUP($A17,'Tabela de Códigos e Valores'!$A:$M,6,FALSE)</f>
        <v>Mensal</v>
      </c>
      <c r="H17" s="239">
        <f>SUMIF('Relatório Custo'!$E:$E,$A17,'Relatório Custo'!$K:$K)</f>
        <v>2</v>
      </c>
      <c r="I17" s="78">
        <f>IF(F17="Posto",SUMIF('Relatório Custo'!$E:$E,$A17,'Relatório Custo'!$Z:$Z),0)</f>
        <v>0</v>
      </c>
      <c r="J17" s="78">
        <f>SUMIF('Relatório Custo'!$E:$E,$A17,'Relatório Custo'!$V:$V)</f>
        <v>1728.79</v>
      </c>
      <c r="K17" s="78">
        <f>SUMIF('Relatório Custo'!$E:$E,$A17,'Relatório Custo'!$X:$X)</f>
        <v>51863.7</v>
      </c>
      <c r="L17" s="79"/>
      <c r="M17" s="79"/>
    </row>
    <row r="18" spans="1:193" x14ac:dyDescent="0.25">
      <c r="A18" s="77">
        <v>690026</v>
      </c>
      <c r="B18" s="460" t="str">
        <f>VLOOKUP(A18,'Tabela de Códigos e Valores'!A:B,2,FALSE)</f>
        <v>Copeiro(a) - diurno - 44 horas semanais</v>
      </c>
      <c r="C18" s="461"/>
      <c r="D18" s="461"/>
      <c r="E18" s="462"/>
      <c r="F18" s="176" t="str">
        <f>VLOOKUP($A18,'Tabela de Códigos e Valores'!$A:$M,5,FALSE)</f>
        <v>Posto</v>
      </c>
      <c r="G18" s="176" t="str">
        <f>VLOOKUP($A18,'Tabela de Códigos e Valores'!$A:$M,6,FALSE)</f>
        <v>Mensal</v>
      </c>
      <c r="H18" s="239">
        <f>SUMIF('Relatório Custo'!$E:$E,$A18,'Relatório Custo'!$K:$K)</f>
        <v>2</v>
      </c>
      <c r="I18" s="78">
        <f>IF(F18="Posto",SUMIF('Relatório Custo'!$E:$E,$A18,'Relatório Custo'!$Z:$Z),0)</f>
        <v>3458.08</v>
      </c>
      <c r="J18" s="78">
        <f>SUMIF('Relatório Custo'!$E:$E,$A18,'Relatório Custo'!$V:$V)</f>
        <v>10028.970000000001</v>
      </c>
      <c r="K18" s="78">
        <f>SUMIF('Relatório Custo'!$E:$E,$A18,'Relatório Custo'!$X:$X)</f>
        <v>300869.09999999998</v>
      </c>
      <c r="L18" s="79"/>
      <c r="M18" s="79"/>
    </row>
    <row r="19" spans="1:193" x14ac:dyDescent="0.25">
      <c r="A19" s="77">
        <v>690028</v>
      </c>
      <c r="B19" s="460" t="str">
        <f>VLOOKUP(A19,'Tabela de Códigos e Valores'!A:B,2,FALSE)</f>
        <v>Supervisor(a) de limpeza - diurno - 44 horas semanais</v>
      </c>
      <c r="C19" s="461"/>
      <c r="D19" s="461"/>
      <c r="E19" s="462"/>
      <c r="F19" s="176" t="str">
        <f>VLOOKUP($A19,'Tabela de Códigos e Valores'!$A:$M,5,FALSE)</f>
        <v>Posto</v>
      </c>
      <c r="G19" s="176" t="str">
        <f>VLOOKUP($A19,'Tabela de Códigos e Valores'!$A:$M,6,FALSE)</f>
        <v>Mensal</v>
      </c>
      <c r="H19" s="239">
        <f>SUMIF('Relatório Custo'!$E:$E,$A19,'Relatório Custo'!$K:$K)</f>
        <v>2</v>
      </c>
      <c r="I19" s="78">
        <f>IF(F19="Posto",SUMIF('Relatório Custo'!$E:$E,$A19,'Relatório Custo'!$Z:$Z),0)</f>
        <v>4888.58</v>
      </c>
      <c r="J19" s="78">
        <f>SUMIF('Relatório Custo'!$E:$E,$A19,'Relatório Custo'!$V:$V)</f>
        <v>13216.279999999999</v>
      </c>
      <c r="K19" s="78">
        <f>SUMIF('Relatório Custo'!$E:$E,$A19,'Relatório Custo'!$X:$X)</f>
        <v>396488.4</v>
      </c>
      <c r="L19" s="79"/>
      <c r="M19" s="79"/>
    </row>
    <row r="20" spans="1:193" x14ac:dyDescent="0.25">
      <c r="A20" s="77">
        <v>690029</v>
      </c>
      <c r="B20" s="460" t="str">
        <f>VLOOKUP(A20,'Tabela de Códigos e Valores'!A:B,2,FALSE)</f>
        <v>Serviço de limpeza de vidros sem exposição à situação de risco</v>
      </c>
      <c r="C20" s="461"/>
      <c r="D20" s="461"/>
      <c r="E20" s="462"/>
      <c r="F20" s="176" t="str">
        <f>VLOOKUP($A20,'Tabela de Códigos e Valores'!$A:$M,5,FALSE)</f>
        <v>M2</v>
      </c>
      <c r="G20" s="176" t="str">
        <f>VLOOKUP($A20,'Tabela de Códigos e Valores'!$A:$M,6,FALSE)</f>
        <v>Trimestral</v>
      </c>
      <c r="H20" s="239">
        <f>SUMIF('Relatório Custo'!$E:$E,$A20,'Relatório Custo'!$K:$K)</f>
        <v>2</v>
      </c>
      <c r="I20" s="78">
        <f>IF(F20="Posto",SUMIF('Relatório Custo'!$E:$E,$A20,'Relatório Custo'!$Z:$Z),0)</f>
        <v>0</v>
      </c>
      <c r="J20" s="78">
        <f>SUMIF('Relatório Custo'!$E:$E,$A20,'Relatório Custo'!$V:$V)</f>
        <v>4.4700000000000006</v>
      </c>
      <c r="K20" s="78">
        <f>SUMIF('Relatório Custo'!$E:$E,$A20,'Relatório Custo'!$X:$X)</f>
        <v>44.7</v>
      </c>
      <c r="L20" s="79"/>
      <c r="M20" s="79"/>
    </row>
    <row r="21" spans="1:193" x14ac:dyDescent="0.25">
      <c r="A21" s="77">
        <v>690030</v>
      </c>
      <c r="B21" s="460" t="str">
        <f>VLOOKUP(A21,'Tabela de Códigos e Valores'!A:B,2,FALSE)</f>
        <v>Serviço de encarregado - plantonista - sábado</v>
      </c>
      <c r="C21" s="461"/>
      <c r="D21" s="461"/>
      <c r="E21" s="462"/>
      <c r="F21" s="176" t="str">
        <f>VLOOKUP($A21,'Tabela de Códigos e Valores'!$A:$M,5,FALSE)</f>
        <v>Plantão - Sábado</v>
      </c>
      <c r="G21" s="176" t="str">
        <f>VLOOKUP($A21,'Tabela de Códigos e Valores'!$A:$M,6,FALSE)</f>
        <v>Mensal</v>
      </c>
      <c r="H21" s="239">
        <f>SUMIF('Relatório Custo'!$E:$E,$A21,'Relatório Custo'!$K:$K)</f>
        <v>2</v>
      </c>
      <c r="I21" s="78">
        <f>IF(F21="Posto",SUMIF('Relatório Custo'!$E:$E,$A21,'Relatório Custo'!$Z:$Z),0)</f>
        <v>0</v>
      </c>
      <c r="J21" s="78">
        <f>SUMIF('Relatório Custo'!$E:$E,$A21,'Relatório Custo'!$V:$V)</f>
        <v>2142.04</v>
      </c>
      <c r="K21" s="78">
        <f>SUMIF('Relatório Custo'!$E:$E,$A21,'Relatório Custo'!$X:$X)</f>
        <v>64261.2</v>
      </c>
      <c r="L21" s="79"/>
      <c r="M21" s="79"/>
    </row>
    <row r="22" spans="1:193" x14ac:dyDescent="0.25">
      <c r="A22" s="77">
        <v>690031</v>
      </c>
      <c r="B22" s="460" t="str">
        <f>VLOOKUP(A22,'Tabela de Códigos e Valores'!A:B,2,FALSE)</f>
        <v>Serviço de encarregado - plantonista - domingos e feriados</v>
      </c>
      <c r="C22" s="461"/>
      <c r="D22" s="461"/>
      <c r="E22" s="462"/>
      <c r="F22" s="176" t="str">
        <f>VLOOKUP($A22,'Tabela de Códigos e Valores'!$A:$M,5,FALSE)</f>
        <v>Plantão - Dom/Fer</v>
      </c>
      <c r="G22" s="176" t="str">
        <f>VLOOKUP($A22,'Tabela de Códigos e Valores'!$A:$M,6,FALSE)</f>
        <v>Mensal</v>
      </c>
      <c r="H22" s="239">
        <f>SUMIF('Relatório Custo'!$E:$E,$A22,'Relatório Custo'!$K:$K)</f>
        <v>2</v>
      </c>
      <c r="I22" s="78">
        <f>IF(F22="Posto",SUMIF('Relatório Custo'!$E:$E,$A22,'Relatório Custo'!$Z:$Z),0)</f>
        <v>0</v>
      </c>
      <c r="J22" s="78">
        <f>SUMIF('Relatório Custo'!$E:$E,$A22,'Relatório Custo'!$V:$V)</f>
        <v>3271.4700000000003</v>
      </c>
      <c r="K22" s="78">
        <f>SUMIF('Relatório Custo'!$E:$E,$A22,'Relatório Custo'!$X:$X)</f>
        <v>98144.1</v>
      </c>
      <c r="L22" s="79"/>
      <c r="M22" s="79"/>
    </row>
    <row r="23" spans="1:193" x14ac:dyDescent="0.25">
      <c r="A23" s="77">
        <v>690032</v>
      </c>
      <c r="B23" s="460" t="str">
        <f>VLOOKUP(A23,'Tabela de Códigos e Valores'!A:B,2,FALSE)</f>
        <v>Auxiliar de limpeza - diurno - 44 horas semanais (segunda a sábado)</v>
      </c>
      <c r="C23" s="461"/>
      <c r="D23" s="461"/>
      <c r="E23" s="462"/>
      <c r="F23" s="176" t="str">
        <f>VLOOKUP($A23,'Tabela de Códigos e Valores'!$A:$M,5,FALSE)</f>
        <v>Posto</v>
      </c>
      <c r="G23" s="176" t="str">
        <f>VLOOKUP($A23,'Tabela de Códigos e Valores'!$A:$M,6,FALSE)</f>
        <v>Mensal</v>
      </c>
      <c r="H23" s="239">
        <f>SUMIF('Relatório Custo'!$E:$E,$A23,'Relatório Custo'!$K:$K)</f>
        <v>2</v>
      </c>
      <c r="I23" s="78">
        <f>IF(F23="Posto",SUMIF('Relatório Custo'!$E:$E,$A23,'Relatório Custo'!$Z:$Z),0)</f>
        <v>3434.4</v>
      </c>
      <c r="J23" s="78">
        <f>SUMIF('Relatório Custo'!$E:$E,$A23,'Relatório Custo'!$V:$V)</f>
        <v>11720.95</v>
      </c>
      <c r="K23" s="78">
        <f>SUMIF('Relatório Custo'!$E:$E,$A23,'Relatório Custo'!$X:$X)</f>
        <v>351628.5</v>
      </c>
      <c r="L23" s="79"/>
      <c r="M23" s="79"/>
    </row>
    <row r="24" spans="1:193" s="86" customFormat="1" x14ac:dyDescent="0.25">
      <c r="A24" s="77">
        <v>690033</v>
      </c>
      <c r="B24" s="460" t="str">
        <f>VLOOKUP(A24,'Tabela de Códigos e Valores'!A:B,2,FALSE)</f>
        <v>Serviço de limpeza - plantonista - recesso judiciário (5 horas)</v>
      </c>
      <c r="C24" s="461"/>
      <c r="D24" s="461"/>
      <c r="E24" s="462"/>
      <c r="F24" s="176" t="str">
        <f>VLOOKUP($A24,'Tabela de Códigos e Valores'!$A:$M,5,FALSE)</f>
        <v>Plantão - Recesso</v>
      </c>
      <c r="G24" s="176" t="str">
        <f>VLOOKUP($A24,'Tabela de Códigos e Valores'!$A:$M,6,FALSE)</f>
        <v>Anual</v>
      </c>
      <c r="H24" s="239">
        <f>SUMIF('Relatório Custo'!$E:$E,$A24,'Relatório Custo'!$K:$K)</f>
        <v>2</v>
      </c>
      <c r="I24" s="78">
        <f>IF(F24="Posto",SUMIF('Relatório Custo'!$E:$E,$A24,'Relatório Custo'!$Z:$Z),0)</f>
        <v>0</v>
      </c>
      <c r="J24" s="78">
        <f>SUMIF('Relatório Custo'!$E:$E,$A24,'Relatório Custo'!$V:$V)</f>
        <v>2609.7799999999997</v>
      </c>
      <c r="K24" s="78">
        <f>SUMIF('Relatório Custo'!$E:$E,$A24,'Relatório Custo'!$X:$X)</f>
        <v>5219.5599999999995</v>
      </c>
      <c r="L24" s="84"/>
      <c r="M24" s="84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  <c r="CA24" s="85"/>
      <c r="CB24" s="85"/>
      <c r="CC24" s="85"/>
      <c r="CD24" s="85"/>
      <c r="CE24" s="85"/>
      <c r="CF24" s="85"/>
      <c r="CG24" s="85"/>
      <c r="CH24" s="85"/>
      <c r="CI24" s="85"/>
      <c r="CJ24" s="85"/>
      <c r="CK24" s="85"/>
      <c r="CL24" s="85"/>
      <c r="CM24" s="85"/>
      <c r="CN24" s="85"/>
      <c r="CO24" s="85"/>
      <c r="CP24" s="85"/>
      <c r="CQ24" s="85"/>
      <c r="CR24" s="85"/>
      <c r="CS24" s="85"/>
      <c r="CT24" s="85"/>
      <c r="CU24" s="85"/>
      <c r="CV24" s="85"/>
      <c r="CW24" s="85"/>
      <c r="CX24" s="85"/>
      <c r="CY24" s="85"/>
      <c r="CZ24" s="85"/>
      <c r="DA24" s="85"/>
      <c r="DB24" s="85"/>
      <c r="DC24" s="85"/>
      <c r="DD24" s="85"/>
      <c r="DE24" s="85"/>
      <c r="DF24" s="85"/>
      <c r="DG24" s="85"/>
      <c r="DH24" s="85"/>
      <c r="DI24" s="85"/>
      <c r="DJ24" s="85"/>
      <c r="DK24" s="85"/>
      <c r="DL24" s="85"/>
      <c r="DM24" s="85"/>
      <c r="DN24" s="85"/>
      <c r="DO24" s="85"/>
      <c r="DP24" s="85"/>
      <c r="DQ24" s="85"/>
      <c r="DR24" s="85"/>
      <c r="DS24" s="85"/>
      <c r="DT24" s="85"/>
      <c r="DU24" s="85"/>
      <c r="DV24" s="85"/>
      <c r="DW24" s="85"/>
      <c r="DX24" s="85"/>
      <c r="DY24" s="85"/>
      <c r="DZ24" s="85"/>
      <c r="EA24" s="85"/>
      <c r="EB24" s="85"/>
      <c r="EC24" s="85"/>
      <c r="ED24" s="85"/>
      <c r="EE24" s="85"/>
      <c r="EF24" s="85"/>
      <c r="EG24" s="85"/>
      <c r="EH24" s="85"/>
      <c r="EI24" s="85"/>
      <c r="EJ24" s="85"/>
      <c r="EK24" s="85"/>
      <c r="EL24" s="85"/>
      <c r="EM24" s="85"/>
      <c r="EN24" s="85"/>
      <c r="EO24" s="85"/>
      <c r="EP24" s="85"/>
      <c r="EQ24" s="85"/>
      <c r="ER24" s="85"/>
      <c r="ES24" s="85"/>
      <c r="ET24" s="85"/>
      <c r="EU24" s="85"/>
      <c r="EV24" s="85"/>
      <c r="EW24" s="85"/>
      <c r="EX24" s="85"/>
      <c r="EY24" s="85"/>
      <c r="EZ24" s="85"/>
      <c r="FA24" s="85"/>
      <c r="FB24" s="85"/>
      <c r="FC24" s="85"/>
      <c r="FD24" s="85"/>
      <c r="FE24" s="85"/>
      <c r="FF24" s="85"/>
      <c r="FG24" s="85"/>
      <c r="FH24" s="85"/>
      <c r="FI24" s="85"/>
      <c r="FJ24" s="85"/>
      <c r="FK24" s="85"/>
      <c r="FL24" s="85"/>
      <c r="FM24" s="85"/>
      <c r="FN24" s="85"/>
      <c r="FO24" s="85"/>
      <c r="FP24" s="85"/>
      <c r="FQ24" s="85"/>
      <c r="FR24" s="85"/>
      <c r="FS24" s="85"/>
      <c r="FT24" s="85"/>
      <c r="FU24" s="85"/>
      <c r="FV24" s="85"/>
      <c r="FW24" s="85"/>
      <c r="FX24" s="85"/>
      <c r="FY24" s="85"/>
      <c r="FZ24" s="85"/>
      <c r="GA24" s="85"/>
      <c r="GB24" s="85"/>
      <c r="GC24" s="85"/>
      <c r="GD24" s="85"/>
      <c r="GE24" s="85"/>
      <c r="GF24" s="85"/>
      <c r="GG24" s="85"/>
      <c r="GH24" s="85"/>
      <c r="GI24" s="85"/>
      <c r="GJ24" s="85"/>
      <c r="GK24" s="85"/>
    </row>
    <row r="25" spans="1:193" s="83" customFormat="1" x14ac:dyDescent="0.25">
      <c r="A25" s="77">
        <v>690035</v>
      </c>
      <c r="B25" s="460" t="str">
        <f>VLOOKUP(A25,'Tabela de Códigos e Valores'!A:B,2,FALSE)</f>
        <v>Copeiro(a) - diurno - 24 horas semanais</v>
      </c>
      <c r="C25" s="461"/>
      <c r="D25" s="461"/>
      <c r="E25" s="462"/>
      <c r="F25" s="176" t="str">
        <f>VLOOKUP($A25,'Tabela de Códigos e Valores'!$A:$M,5,FALSE)</f>
        <v>Posto</v>
      </c>
      <c r="G25" s="176" t="str">
        <f>VLOOKUP($A25,'Tabela de Códigos e Valores'!$A:$M,6,FALSE)</f>
        <v>Mensal</v>
      </c>
      <c r="H25" s="239">
        <f>SUMIF('Relatório Custo'!$E:$E,$A25,'Relatório Custo'!$K:$K)</f>
        <v>2</v>
      </c>
      <c r="I25" s="78">
        <f>IF(F25="Posto",SUMIF('Relatório Custo'!$E:$E,$A25,'Relatório Custo'!$Z:$Z),0)</f>
        <v>2074.84</v>
      </c>
      <c r="J25" s="78">
        <f>SUMIF('Relatório Custo'!$E:$E,$A25,'Relatório Custo'!$V:$V)</f>
        <v>5926.67</v>
      </c>
      <c r="K25" s="78">
        <f>SUMIF('Relatório Custo'!$E:$E,$A25,'Relatório Custo'!$X:$X)</f>
        <v>177800.09999999998</v>
      </c>
      <c r="L25" s="81"/>
      <c r="M25" s="81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  <c r="FQ25" s="82"/>
      <c r="FR25" s="82"/>
      <c r="FS25" s="82"/>
      <c r="FT25" s="82"/>
      <c r="FU25" s="82"/>
      <c r="FV25" s="82"/>
      <c r="FW25" s="82"/>
      <c r="FX25" s="82"/>
      <c r="FY25" s="82"/>
      <c r="FZ25" s="82"/>
      <c r="GA25" s="82"/>
      <c r="GB25" s="82"/>
      <c r="GC25" s="82"/>
      <c r="GD25" s="82"/>
      <c r="GE25" s="82"/>
      <c r="GF25" s="82"/>
      <c r="GG25" s="82"/>
      <c r="GH25" s="82"/>
      <c r="GI25" s="82"/>
      <c r="GJ25" s="82"/>
      <c r="GK25" s="82"/>
    </row>
    <row r="26" spans="1:193" s="83" customFormat="1" x14ac:dyDescent="0.25">
      <c r="A26" s="77">
        <v>690037</v>
      </c>
      <c r="B26" s="460" t="str">
        <f>VLOOKUP(A26,'Tabela de Códigos e Valores'!A:B,2,FALSE)</f>
        <v>Agente de Higienização (Tempo Integral) - (40%) - 44 horas semanais</v>
      </c>
      <c r="C26" s="461"/>
      <c r="D26" s="461"/>
      <c r="E26" s="462"/>
      <c r="F26" s="176" t="str">
        <f>VLOOKUP($A26,'Tabela de Códigos e Valores'!$A:$M,5,FALSE)</f>
        <v>Posto</v>
      </c>
      <c r="G26" s="176" t="str">
        <f>VLOOKUP($A26,'Tabela de Códigos e Valores'!$A:$M,6,FALSE)</f>
        <v>Mensal</v>
      </c>
      <c r="H26" s="239">
        <f>SUMIF('Relatório Custo'!$E:$E,$A26,'Relatório Custo'!$K:$K)</f>
        <v>2</v>
      </c>
      <c r="I26" s="78">
        <f>IF(F26="Posto",SUMIF('Relatório Custo'!$E:$E,$A26,'Relatório Custo'!$Z:$Z),0)</f>
        <v>4648.8</v>
      </c>
      <c r="J26" s="78">
        <f>SUMIF('Relatório Custo'!$E:$E,$A26,'Relatório Custo'!$V:$V)</f>
        <v>14492.94</v>
      </c>
      <c r="K26" s="78">
        <f>SUMIF('Relatório Custo'!$E:$E,$A26,'Relatório Custo'!$X:$X)</f>
        <v>434788.2</v>
      </c>
      <c r="L26" s="81"/>
      <c r="M26" s="81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  <c r="FQ26" s="82"/>
      <c r="FR26" s="82"/>
      <c r="FS26" s="82"/>
      <c r="FT26" s="82"/>
      <c r="FU26" s="82"/>
      <c r="FV26" s="82"/>
      <c r="FW26" s="82"/>
      <c r="FX26" s="82"/>
      <c r="FY26" s="82"/>
      <c r="FZ26" s="82"/>
      <c r="GA26" s="82"/>
      <c r="GB26" s="82"/>
      <c r="GC26" s="82"/>
      <c r="GD26" s="82"/>
      <c r="GE26" s="82"/>
      <c r="GF26" s="82"/>
      <c r="GG26" s="82"/>
      <c r="GH26" s="82"/>
      <c r="GI26" s="82"/>
      <c r="GJ26" s="82"/>
      <c r="GK26" s="82"/>
    </row>
    <row r="27" spans="1:193" x14ac:dyDescent="0.25">
      <c r="A27" s="77">
        <v>690038</v>
      </c>
      <c r="B27" s="460" t="str">
        <f>VLOOKUP(A27,'Tabela de Códigos e Valores'!A:B,2,FALSE)</f>
        <v>Agente de Higienização (Tempo Integral) - (40%) - 24 horas semanais</v>
      </c>
      <c r="C27" s="461"/>
      <c r="D27" s="461"/>
      <c r="E27" s="462"/>
      <c r="F27" s="176" t="str">
        <f>VLOOKUP($A27,'Tabela de Códigos e Valores'!$A:$M,5,FALSE)</f>
        <v>Posto</v>
      </c>
      <c r="G27" s="176" t="str">
        <f>VLOOKUP($A27,'Tabela de Códigos e Valores'!$A:$M,6,FALSE)</f>
        <v>Mensal</v>
      </c>
      <c r="H27" s="239">
        <f>SUMIF('Relatório Custo'!$E:$E,$A27,'Relatório Custo'!$K:$K)</f>
        <v>2</v>
      </c>
      <c r="I27" s="78">
        <f>IF(F27="Posto",SUMIF('Relatório Custo'!$E:$E,$A27,'Relatório Custo'!$Z:$Z),0)</f>
        <v>3275.04</v>
      </c>
      <c r="J27" s="78">
        <f>SUMIF('Relatório Custo'!$E:$E,$A27,'Relatório Custo'!$V:$V)</f>
        <v>9855.06</v>
      </c>
      <c r="K27" s="78">
        <f>SUMIF('Relatório Custo'!$E:$E,$A27,'Relatório Custo'!$X:$X)</f>
        <v>295651.79999999993</v>
      </c>
      <c r="L27" s="79"/>
      <c r="M27" s="79"/>
    </row>
    <row r="28" spans="1:193" x14ac:dyDescent="0.25">
      <c r="A28" s="77">
        <v>690054</v>
      </c>
      <c r="B28" s="460" t="str">
        <f>VLOOKUP(A28,'Tabela de Códigos e Valores'!A:B,2,FALSE)</f>
        <v>Líder até 10 subordinados - diurno - 44 horas semanais</v>
      </c>
      <c r="C28" s="461"/>
      <c r="D28" s="461"/>
      <c r="E28" s="462"/>
      <c r="F28" s="176" t="str">
        <f>VLOOKUP($A28,'Tabela de Códigos e Valores'!$A:$M,5,FALSE)</f>
        <v>Posto</v>
      </c>
      <c r="G28" s="176" t="str">
        <f>VLOOKUP($A28,'Tabela de Códigos e Valores'!$A:$M,6,FALSE)</f>
        <v>Mensal</v>
      </c>
      <c r="H28" s="239">
        <f>SUMIF('Relatório Custo'!$E:$E,$A28,'Relatório Custo'!$K:$K)</f>
        <v>2</v>
      </c>
      <c r="I28" s="78">
        <f>IF(F28="Posto",SUMIF('Relatório Custo'!$E:$E,$A28,'Relatório Custo'!$Z:$Z),0)</f>
        <v>3745.6</v>
      </c>
      <c r="J28" s="78">
        <f>SUMIF('Relatório Custo'!$E:$E,$A28,'Relatório Custo'!$V:$V)</f>
        <v>12148.41</v>
      </c>
      <c r="K28" s="78">
        <f>SUMIF('Relatório Custo'!$E:$E,$A28,'Relatório Custo'!$X:$X)</f>
        <v>364452.3</v>
      </c>
      <c r="L28" s="79"/>
      <c r="M28" s="79"/>
    </row>
    <row r="29" spans="1:193" x14ac:dyDescent="0.25">
      <c r="A29" s="77">
        <v>690055</v>
      </c>
      <c r="B29" s="460" t="str">
        <f>VLOOKUP(A29,'Tabela de Códigos e Valores'!A:B,2,FALSE)</f>
        <v>Líder até 10 subordinados - noturno - 44 horas semanais</v>
      </c>
      <c r="C29" s="461"/>
      <c r="D29" s="461"/>
      <c r="E29" s="462"/>
      <c r="F29" s="176" t="str">
        <f>VLOOKUP($A29,'Tabela de Códigos e Valores'!$A:$M,5,FALSE)</f>
        <v>Posto</v>
      </c>
      <c r="G29" s="176" t="str">
        <f>VLOOKUP($A29,'Tabela de Códigos e Valores'!$A:$M,6,FALSE)</f>
        <v>Mensal</v>
      </c>
      <c r="H29" s="239">
        <f>SUMIF('Relatório Custo'!$E:$E,$A29,'Relatório Custo'!$K:$K)</f>
        <v>2</v>
      </c>
      <c r="I29" s="78">
        <f>IF(F29="Posto",SUMIF('Relatório Custo'!$E:$E,$A29,'Relatório Custo'!$Z:$Z),0)</f>
        <v>4542.38</v>
      </c>
      <c r="J29" s="78">
        <f>SUMIF('Relatório Custo'!$E:$E,$A29,'Relatório Custo'!$V:$V)</f>
        <v>14218.98</v>
      </c>
      <c r="K29" s="78">
        <f>SUMIF('Relatório Custo'!$E:$E,$A29,'Relatório Custo'!$X:$X)</f>
        <v>426569.4</v>
      </c>
      <c r="L29" s="79"/>
      <c r="M29" s="79"/>
    </row>
    <row r="30" spans="1:193" x14ac:dyDescent="0.25">
      <c r="A30" s="77">
        <v>690056</v>
      </c>
      <c r="B30" s="460" t="str">
        <f>VLOOKUP(A30,'Tabela de Códigos e Valores'!A:B,2,FALSE)</f>
        <v>Encarregado(a) 11 ou mais subordinados - diurno - 44 horas semanais</v>
      </c>
      <c r="C30" s="461"/>
      <c r="D30" s="461"/>
      <c r="E30" s="462"/>
      <c r="F30" s="176" t="str">
        <f>VLOOKUP($A30,'Tabela de Códigos e Valores'!$A:$M,5,FALSE)</f>
        <v>Posto</v>
      </c>
      <c r="G30" s="176" t="str">
        <f>VLOOKUP($A30,'Tabela de Códigos e Valores'!$A:$M,6,FALSE)</f>
        <v>Mensal</v>
      </c>
      <c r="H30" s="239">
        <f>SUMIF('Relatório Custo'!$E:$E,$A30,'Relatório Custo'!$K:$K)</f>
        <v>2</v>
      </c>
      <c r="I30" s="78">
        <f>IF(F30="Posto",SUMIF('Relatório Custo'!$E:$E,$A30,'Relatório Custo'!$Z:$Z),0)</f>
        <v>4494.74</v>
      </c>
      <c r="J30" s="78">
        <f>SUMIF('Relatório Custo'!$E:$E,$A30,'Relatório Custo'!$V:$V)</f>
        <v>14029.55</v>
      </c>
      <c r="K30" s="78">
        <f>SUMIF('Relatório Custo'!$E:$E,$A30,'Relatório Custo'!$X:$X)</f>
        <v>420886.5</v>
      </c>
      <c r="L30" s="79"/>
      <c r="M30" s="79"/>
    </row>
    <row r="31" spans="1:193" x14ac:dyDescent="0.25">
      <c r="A31" s="77">
        <v>690057</v>
      </c>
      <c r="B31" s="460" t="str">
        <f>VLOOKUP(A31,'Tabela de Códigos e Valores'!A:B,2,FALSE)</f>
        <v>Encarregado(a) 11 ou mais subordinados - noturno - 44 horas semanais</v>
      </c>
      <c r="C31" s="461"/>
      <c r="D31" s="461"/>
      <c r="E31" s="462"/>
      <c r="F31" s="176" t="str">
        <f>VLOOKUP($A31,'Tabela de Códigos e Valores'!$A:$M,5,FALSE)</f>
        <v>Posto</v>
      </c>
      <c r="G31" s="176" t="str">
        <f>VLOOKUP($A31,'Tabela de Códigos e Valores'!$A:$M,6,FALSE)</f>
        <v>Mensal</v>
      </c>
      <c r="H31" s="239">
        <f>SUMIF('Relatório Custo'!$E:$E,$A31,'Relatório Custo'!$K:$K)</f>
        <v>2</v>
      </c>
      <c r="I31" s="78">
        <f>IF(F31="Posto",SUMIF('Relatório Custo'!$E:$E,$A31,'Relatório Custo'!$Z:$Z),0)</f>
        <v>5450.9</v>
      </c>
      <c r="J31" s="78">
        <f>SUMIF('Relatório Custo'!$E:$E,$A31,'Relatório Custo'!$V:$V)</f>
        <v>16514.330000000002</v>
      </c>
      <c r="K31" s="78">
        <f>SUMIF('Relatório Custo'!$E:$E,$A31,'Relatório Custo'!$X:$X)</f>
        <v>495429.9</v>
      </c>
      <c r="L31" s="79"/>
      <c r="M31" s="79"/>
    </row>
    <row r="32" spans="1:193" ht="21.75" customHeight="1" x14ac:dyDescent="0.25">
      <c r="A32" s="77">
        <v>690058</v>
      </c>
      <c r="B32" s="460" t="str">
        <f>VLOOKUP(A32,'Tabela de Códigos e Valores'!A:B,2,FALSE)</f>
        <v>Serviço de limpeza - plantonista - (Agente de Higienização - 40%) - sábado - 8 horas/dia</v>
      </c>
      <c r="C32" s="461"/>
      <c r="D32" s="461"/>
      <c r="E32" s="462"/>
      <c r="F32" s="176" t="str">
        <f>VLOOKUP($A32,'Tabela de Códigos e Valores'!$A:$M,5,FALSE)</f>
        <v>Plantão - Sábado</v>
      </c>
      <c r="G32" s="176" t="str">
        <f>VLOOKUP($A32,'Tabela de Códigos e Valores'!$A:$M,6,FALSE)</f>
        <v>Mensal</v>
      </c>
      <c r="H32" s="239">
        <f>SUMIF('Relatório Custo'!$E:$E,$A32,'Relatório Custo'!$K:$K)</f>
        <v>2</v>
      </c>
      <c r="I32" s="78">
        <f>IF(F32="Posto",SUMIF('Relatório Custo'!$E:$E,$A32,'Relatório Custo'!$Z:$Z),0)</f>
        <v>0</v>
      </c>
      <c r="J32" s="78">
        <f>SUMIF('Relatório Custo'!$E:$E,$A32,'Relatório Custo'!$V:$V)</f>
        <v>3289.8500000000004</v>
      </c>
      <c r="K32" s="78">
        <f>SUMIF('Relatório Custo'!$E:$E,$A32,'Relatório Custo'!$X:$X)</f>
        <v>98695.5</v>
      </c>
      <c r="L32" s="79"/>
      <c r="M32" s="79"/>
    </row>
    <row r="33" spans="1:193" ht="21.75" customHeight="1" x14ac:dyDescent="0.25">
      <c r="A33" s="77">
        <v>690059</v>
      </c>
      <c r="B33" s="460" t="str">
        <f>VLOOKUP(A33,'Tabela de Códigos e Valores'!A:B,2,FALSE)</f>
        <v>Serviço de limpeza - plantonista - (Agente de Higienização - 40%) - domingos e feriados - 8 horas/dia</v>
      </c>
      <c r="C33" s="461"/>
      <c r="D33" s="461"/>
      <c r="E33" s="462"/>
      <c r="F33" s="176" t="str">
        <f>VLOOKUP($A33,'Tabela de Códigos e Valores'!$A:$M,5,FALSE)</f>
        <v>Plantão - Dom/Fer</v>
      </c>
      <c r="G33" s="176" t="str">
        <f>VLOOKUP($A33,'Tabela de Códigos e Valores'!$A:$M,6,FALSE)</f>
        <v>Mensal</v>
      </c>
      <c r="H33" s="239">
        <f>SUMIF('Relatório Custo'!$E:$E,$A33,'Relatório Custo'!$K:$K)</f>
        <v>2</v>
      </c>
      <c r="I33" s="78">
        <f>IF(F33="Posto",SUMIF('Relatório Custo'!$E:$E,$A33,'Relatório Custo'!$Z:$Z),0)</f>
        <v>0</v>
      </c>
      <c r="J33" s="78">
        <f>SUMIF('Relatório Custo'!$E:$E,$A33,'Relatório Custo'!$V:$V)</f>
        <v>5106.49</v>
      </c>
      <c r="K33" s="78">
        <f>SUMIF('Relatório Custo'!$E:$E,$A33,'Relatório Custo'!$X:$X)</f>
        <v>153194.70000000001</v>
      </c>
      <c r="L33" s="79"/>
      <c r="M33" s="79"/>
    </row>
    <row r="34" spans="1:193" x14ac:dyDescent="0.25">
      <c r="A34" s="77">
        <v>690062</v>
      </c>
      <c r="B34" s="460" t="str">
        <f>VLOOKUP(A34,'Tabela de Códigos e Valores'!A:B,2,FALSE)</f>
        <v>Agente de Higienização (Tempo Integral) - (40%) - 44 horas semanais - noturno</v>
      </c>
      <c r="C34" s="461"/>
      <c r="D34" s="461"/>
      <c r="E34" s="462"/>
      <c r="F34" s="176" t="str">
        <f>VLOOKUP($A34,'Tabela de Códigos e Valores'!$A:$M,5,FALSE)</f>
        <v>Posto</v>
      </c>
      <c r="G34" s="176" t="str">
        <f>VLOOKUP($A34,'Tabela de Códigos e Valores'!$A:$M,6,FALSE)</f>
        <v>Mensal</v>
      </c>
      <c r="H34" s="239">
        <f>SUMIF('Relatório Custo'!$E:$E,$A34,'Relatório Custo'!$K:$K)</f>
        <v>2</v>
      </c>
      <c r="I34" s="78">
        <f>IF(F34="Posto",SUMIF('Relatório Custo'!$E:$E,$A34,'Relatório Custo'!$Z:$Z),0)</f>
        <v>5637.7199999999993</v>
      </c>
      <c r="J34" s="78">
        <f>SUMIF('Relatório Custo'!$E:$E,$A34,'Relatório Custo'!$V:$V)</f>
        <v>17062.84</v>
      </c>
      <c r="K34" s="78">
        <f>SUMIF('Relatório Custo'!$E:$E,$A34,'Relatório Custo'!$X:$X)</f>
        <v>511885.19999999995</v>
      </c>
      <c r="L34" s="79"/>
      <c r="M34" s="79"/>
    </row>
    <row r="35" spans="1:193" ht="24.75" customHeight="1" x14ac:dyDescent="0.25">
      <c r="A35" s="77">
        <v>690063</v>
      </c>
      <c r="B35" s="460" t="str">
        <f>VLOOKUP(A35,'Tabela de Códigos e Valores'!A:B,2,FALSE)</f>
        <v xml:space="preserve">Auxiliar de Limpeza, com adicional de acúmulo de função - diurno - 44 horas semanais </v>
      </c>
      <c r="C35" s="461"/>
      <c r="D35" s="461"/>
      <c r="E35" s="462"/>
      <c r="F35" s="176" t="str">
        <f>VLOOKUP($A35,'Tabela de Códigos e Valores'!$A:$M,5,FALSE)</f>
        <v>Posto</v>
      </c>
      <c r="G35" s="176" t="str">
        <f>VLOOKUP($A35,'Tabela de Códigos e Valores'!$A:$M,6,FALSE)</f>
        <v>Mensal</v>
      </c>
      <c r="H35" s="239">
        <f>SUMIF('Relatório Custo'!$E:$E,$A35,'Relatório Custo'!$K:$K)</f>
        <v>2</v>
      </c>
      <c r="I35" s="78">
        <f>IF(F35="Posto",SUMIF('Relatório Custo'!$E:$E,$A35,'Relatório Custo'!$Z:$Z),0)</f>
        <v>4121.28</v>
      </c>
      <c r="J35" s="78">
        <f>SUMIF('Relatório Custo'!$E:$E,$A35,'Relatório Custo'!$V:$V)</f>
        <v>13122.09</v>
      </c>
      <c r="K35" s="78">
        <f>SUMIF('Relatório Custo'!$E:$E,$A35,'Relatório Custo'!$X:$X)</f>
        <v>393662.7</v>
      </c>
      <c r="L35" s="79"/>
      <c r="M35" s="79"/>
    </row>
    <row r="36" spans="1:193" ht="23.25" customHeight="1" x14ac:dyDescent="0.25">
      <c r="A36" s="77">
        <v>690064</v>
      </c>
      <c r="B36" s="460" t="str">
        <f>VLOOKUP(A36,'Tabela de Códigos e Valores'!A:B,2,FALSE)</f>
        <v xml:space="preserve">Auxiliar de Limpeza, com adicional de acúmulo de função - diurno - 24 horas semanais </v>
      </c>
      <c r="C36" s="461"/>
      <c r="D36" s="461"/>
      <c r="E36" s="462"/>
      <c r="F36" s="176" t="str">
        <f>VLOOKUP($A36,'Tabela de Códigos e Valores'!$A:$M,5,FALSE)</f>
        <v>Posto</v>
      </c>
      <c r="G36" s="176" t="str">
        <f>VLOOKUP($A36,'Tabela de Códigos e Valores'!$A:$M,6,FALSE)</f>
        <v>Mensal</v>
      </c>
      <c r="H36" s="239">
        <f>SUMIF('Relatório Custo'!$E:$E,$A36,'Relatório Custo'!$K:$K)</f>
        <v>2</v>
      </c>
      <c r="I36" s="78">
        <f>IF(F36="Posto",SUMIF('Relatório Custo'!$E:$E,$A36,'Relatório Custo'!$Z:$Z),0)</f>
        <v>2472.7599999999998</v>
      </c>
      <c r="J36" s="78">
        <f>SUMIF('Relatório Custo'!$E:$E,$A36,'Relatório Custo'!$V:$V)</f>
        <v>7770.17</v>
      </c>
      <c r="K36" s="78">
        <f>SUMIF('Relatório Custo'!$E:$E,$A36,'Relatório Custo'!$X:$X)</f>
        <v>233105.1</v>
      </c>
      <c r="L36" s="79"/>
      <c r="M36" s="79"/>
    </row>
    <row r="37" spans="1:193" ht="23.25" customHeight="1" x14ac:dyDescent="0.25">
      <c r="A37" s="77">
        <v>690065</v>
      </c>
      <c r="B37" s="460" t="str">
        <f>VLOOKUP(A37,'Tabela de Códigos e Valores'!A:B,2,FALSE)</f>
        <v>Serviço de limpeza - plantonista - sábados (8 horas)</v>
      </c>
      <c r="C37" s="461"/>
      <c r="D37" s="461"/>
      <c r="E37" s="462"/>
      <c r="F37" s="176" t="str">
        <f>VLOOKUP($A37,'Tabela de Códigos e Valores'!$A:$M,5,FALSE)</f>
        <v>Plantão - Sábado</v>
      </c>
      <c r="G37" s="176" t="str">
        <f>VLOOKUP($A37,'Tabela de Códigos e Valores'!$A:$M,6,FALSE)</f>
        <v>Mensal</v>
      </c>
      <c r="H37" s="239">
        <f>SUMIF('Relatório Custo'!$E:$E,$A37,'Relatório Custo'!$K:$K)</f>
        <v>2</v>
      </c>
      <c r="I37" s="78">
        <f>IF(F37="Posto",SUMIF('Relatório Custo'!$E:$E,$A37,'Relatório Custo'!$Z:$Z),0)</f>
        <v>0</v>
      </c>
      <c r="J37" s="78">
        <f>SUMIF('Relatório Custo'!$E:$E,$A37,'Relatório Custo'!$V:$V)</f>
        <v>2532.0100000000002</v>
      </c>
      <c r="K37" s="78">
        <f>SUMIF('Relatório Custo'!$E:$E,$A37,'Relatório Custo'!$X:$X)</f>
        <v>75960.299999999988</v>
      </c>
      <c r="L37" s="79"/>
      <c r="M37" s="79"/>
    </row>
    <row r="38" spans="1:193" ht="23.25" customHeight="1" x14ac:dyDescent="0.25">
      <c r="A38" s="77">
        <v>690066</v>
      </c>
      <c r="B38" s="460" t="str">
        <f>VLOOKUP(A38,'Tabela de Códigos e Valores'!A:B,2,FALSE)</f>
        <v>Serviço de limpeza - plantonista - domingos (8 horas)</v>
      </c>
      <c r="C38" s="461"/>
      <c r="D38" s="461"/>
      <c r="E38" s="462"/>
      <c r="F38" s="176" t="str">
        <f>VLOOKUP($A38,'Tabela de Códigos e Valores'!$A:$M,5,FALSE)</f>
        <v>Plantão - Dom/Fer</v>
      </c>
      <c r="G38" s="176" t="str">
        <f>VLOOKUP($A38,'Tabela de Códigos e Valores'!$A:$M,6,FALSE)</f>
        <v>Mensal</v>
      </c>
      <c r="H38" s="239">
        <f>SUMIF('Relatório Custo'!$E:$E,$A38,'Relatório Custo'!$K:$K)</f>
        <v>2</v>
      </c>
      <c r="I38" s="78">
        <f>IF(F38="Posto",SUMIF('Relatório Custo'!$E:$E,$A38,'Relatório Custo'!$Z:$Z),0)</f>
        <v>0</v>
      </c>
      <c r="J38" s="78">
        <f>SUMIF('Relatório Custo'!$E:$E,$A38,'Relatório Custo'!$V:$V)</f>
        <v>3245.6400000000003</v>
      </c>
      <c r="K38" s="78">
        <f>SUMIF('Relatório Custo'!$E:$E,$A38,'Relatório Custo'!$X:$X)</f>
        <v>97369.200000000012</v>
      </c>
      <c r="L38" s="79"/>
      <c r="M38" s="79"/>
    </row>
    <row r="39" spans="1:193" x14ac:dyDescent="0.25">
      <c r="A39" s="466"/>
      <c r="B39" s="467"/>
      <c r="C39" s="467"/>
      <c r="D39" s="467"/>
      <c r="E39" s="467"/>
      <c r="F39" s="467"/>
      <c r="G39" s="468"/>
      <c r="H39" s="174" t="s">
        <v>217</v>
      </c>
      <c r="I39" s="87">
        <f>SUBTOTAL(9,I3:I38)</f>
        <v>95212.48000000001</v>
      </c>
      <c r="J39" s="87"/>
      <c r="K39" s="87">
        <f>SUBTOTAL(9,K3:K38)</f>
        <v>9599724.2599999979</v>
      </c>
      <c r="L39" s="88"/>
      <c r="M39" s="88"/>
      <c r="N39" s="88"/>
      <c r="O39" s="79"/>
    </row>
    <row r="40" spans="1:193" x14ac:dyDescent="0.25">
      <c r="A40" s="89" t="s">
        <v>218</v>
      </c>
      <c r="B40" s="90"/>
      <c r="C40" s="90"/>
      <c r="D40" s="235"/>
      <c r="E40" s="90"/>
      <c r="F40" s="90"/>
      <c r="G40" s="90"/>
      <c r="H40" s="90"/>
      <c r="I40" s="90"/>
      <c r="J40" s="90"/>
      <c r="K40" s="149">
        <f>K39-'Relatório Custo'!$X$756</f>
        <v>0</v>
      </c>
      <c r="L40" s="79"/>
      <c r="M40" s="79"/>
      <c r="N40" s="79"/>
      <c r="O40" s="79"/>
    </row>
    <row r="41" spans="1:193" x14ac:dyDescent="0.25">
      <c r="A41" s="473" t="s">
        <v>83</v>
      </c>
      <c r="B41" s="474"/>
      <c r="C41" s="474"/>
      <c r="D41" s="474"/>
      <c r="E41" s="474"/>
      <c r="F41" s="474"/>
      <c r="G41" s="474"/>
      <c r="H41" s="474"/>
      <c r="I41" s="474"/>
      <c r="J41" s="474"/>
      <c r="K41" s="475"/>
    </row>
    <row r="42" spans="1:193" x14ac:dyDescent="0.25">
      <c r="A42" s="108" t="s">
        <v>219</v>
      </c>
      <c r="B42" s="170" t="s">
        <v>220</v>
      </c>
      <c r="C42" s="171"/>
      <c r="D42" s="171"/>
      <c r="E42" s="171"/>
      <c r="F42" s="171"/>
      <c r="G42" s="171"/>
      <c r="H42" s="171"/>
      <c r="I42" s="172"/>
      <c r="J42" s="176"/>
      <c r="K42" s="91">
        <f>$I$39</f>
        <v>95212.48000000001</v>
      </c>
    </row>
    <row r="43" spans="1:193" x14ac:dyDescent="0.25">
      <c r="A43" s="108" t="s">
        <v>221</v>
      </c>
      <c r="B43" s="170" t="s">
        <v>73</v>
      </c>
      <c r="C43" s="171"/>
      <c r="D43" s="171"/>
      <c r="E43" s="171"/>
      <c r="F43" s="171"/>
      <c r="G43" s="171"/>
      <c r="H43" s="171"/>
      <c r="I43" s="171"/>
      <c r="J43" s="92">
        <f>'Indicadores Financeiros'!$J$28</f>
        <v>8.9300000000000004E-2</v>
      </c>
      <c r="K43" s="457"/>
    </row>
    <row r="44" spans="1:193" x14ac:dyDescent="0.25">
      <c r="A44" s="108" t="s">
        <v>222</v>
      </c>
      <c r="B44" s="170" t="s">
        <v>76</v>
      </c>
      <c r="C44" s="171"/>
      <c r="D44" s="171"/>
      <c r="E44" s="171"/>
      <c r="F44" s="171"/>
      <c r="G44" s="171"/>
      <c r="H44" s="171"/>
      <c r="I44" s="171"/>
      <c r="J44" s="92">
        <f>'Indicadores Financeiros'!$J$55</f>
        <v>8.9300000000000004E-2</v>
      </c>
      <c r="K44" s="458"/>
    </row>
    <row r="45" spans="1:193" x14ac:dyDescent="0.25">
      <c r="A45" s="108" t="s">
        <v>223</v>
      </c>
      <c r="B45" s="170" t="s">
        <v>84</v>
      </c>
      <c r="C45" s="171"/>
      <c r="D45" s="171"/>
      <c r="E45" s="171"/>
      <c r="F45" s="171"/>
      <c r="G45" s="171"/>
      <c r="H45" s="171"/>
      <c r="I45" s="171"/>
      <c r="J45" s="92">
        <f>'Indicadores Financeiros'!$J$29</f>
        <v>2.98E-2</v>
      </c>
      <c r="K45" s="458"/>
    </row>
    <row r="46" spans="1:193" x14ac:dyDescent="0.25">
      <c r="A46" s="108" t="s">
        <v>224</v>
      </c>
      <c r="B46" s="170" t="s">
        <v>225</v>
      </c>
      <c r="C46" s="171"/>
      <c r="D46" s="171"/>
      <c r="E46" s="171"/>
      <c r="F46" s="172"/>
      <c r="G46" s="93"/>
      <c r="H46" s="94" t="s">
        <v>43</v>
      </c>
      <c r="I46" s="95">
        <f>'Indicadores Financeiros'!$J$25</f>
        <v>0.3680000000000001</v>
      </c>
      <c r="J46" s="92">
        <f>ROUND(I46*SUM(J43:J45),4)</f>
        <v>7.6700000000000004E-2</v>
      </c>
      <c r="K46" s="458"/>
    </row>
    <row r="47" spans="1:193" x14ac:dyDescent="0.25">
      <c r="A47" s="108" t="s">
        <v>226</v>
      </c>
      <c r="B47" s="170" t="s">
        <v>86</v>
      </c>
      <c r="C47" s="171"/>
      <c r="D47" s="171"/>
      <c r="E47" s="171"/>
      <c r="F47" s="171"/>
      <c r="G47" s="171"/>
      <c r="H47" s="171"/>
      <c r="I47" s="171"/>
      <c r="J47" s="92">
        <f>'Indicadores Financeiros'!$J$52</f>
        <v>3.4799999999999998E-2</v>
      </c>
      <c r="K47" s="459"/>
    </row>
    <row r="48" spans="1:193" x14ac:dyDescent="0.25">
      <c r="A48" s="478" t="s">
        <v>227</v>
      </c>
      <c r="B48" s="479"/>
      <c r="C48" s="479"/>
      <c r="D48" s="479"/>
      <c r="E48" s="479"/>
      <c r="F48" s="479"/>
      <c r="G48" s="479"/>
      <c r="H48" s="479"/>
      <c r="I48" s="480"/>
      <c r="J48" s="96">
        <f>ROUND(SUM(J43:J47),4)</f>
        <v>0.31990000000000002</v>
      </c>
      <c r="K48" s="97">
        <f>ROUND($K$42*$J$48,2)</f>
        <v>30458.47</v>
      </c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</row>
    <row r="49" spans="1:193" x14ac:dyDescent="0.25">
      <c r="A49" s="173"/>
      <c r="B49" s="173"/>
      <c r="C49" s="173"/>
      <c r="D49" s="171"/>
      <c r="E49" s="173"/>
      <c r="F49" s="173"/>
      <c r="G49" s="173"/>
      <c r="H49" s="173"/>
      <c r="I49" s="173"/>
      <c r="J49" s="173"/>
      <c r="K49" s="146"/>
      <c r="L49" s="98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</row>
    <row r="50" spans="1:193" x14ac:dyDescent="0.25">
      <c r="A50" s="473" t="s">
        <v>228</v>
      </c>
      <c r="B50" s="481"/>
      <c r="C50" s="481"/>
      <c r="D50" s="481"/>
      <c r="E50" s="481"/>
      <c r="F50" s="481"/>
      <c r="G50" s="481"/>
      <c r="H50" s="481"/>
      <c r="I50" s="481"/>
      <c r="J50" s="481"/>
      <c r="K50" s="477"/>
      <c r="L50" s="98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</row>
    <row r="51" spans="1:193" x14ac:dyDescent="0.25">
      <c r="A51" s="487" t="s">
        <v>229</v>
      </c>
      <c r="B51" s="488"/>
      <c r="C51" s="482" t="s">
        <v>164</v>
      </c>
      <c r="D51" s="483"/>
      <c r="E51" s="483"/>
      <c r="F51" s="483"/>
      <c r="G51" s="483"/>
      <c r="H51" s="484"/>
      <c r="I51" s="485" t="s">
        <v>230</v>
      </c>
      <c r="J51" s="485" t="s">
        <v>231</v>
      </c>
      <c r="K51" s="485" t="s">
        <v>232</v>
      </c>
      <c r="L51" s="9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</row>
    <row r="52" spans="1:193" x14ac:dyDescent="0.25">
      <c r="A52" s="489"/>
      <c r="B52" s="490"/>
      <c r="C52" s="463" t="s">
        <v>233</v>
      </c>
      <c r="D52" s="465"/>
      <c r="E52" s="463" t="s">
        <v>234</v>
      </c>
      <c r="F52" s="465"/>
      <c r="G52" s="463" t="s">
        <v>235</v>
      </c>
      <c r="H52" s="465"/>
      <c r="I52" s="486"/>
      <c r="J52" s="486"/>
      <c r="K52" s="486"/>
      <c r="L52" s="9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</row>
    <row r="53" spans="1:193" x14ac:dyDescent="0.25">
      <c r="A53" s="476">
        <v>1</v>
      </c>
      <c r="B53" s="477"/>
      <c r="C53" s="252">
        <f>IF(A53&lt;='Indicadores Financeiros'!$F$14,SUMIFS('Relatório Custo'!$V:$V,'Relatório Custo'!$H:$H,'Custo  Resumido'!$C$52,'Relatório Custo'!$W:$W,"&lt;="&amp;'Custo  Resumido'!$A53),0)</f>
        <v>319813.43</v>
      </c>
      <c r="D53" s="253"/>
      <c r="E53" s="471"/>
      <c r="F53" s="472"/>
      <c r="G53" s="471"/>
      <c r="H53" s="472"/>
      <c r="I53" s="78">
        <f t="shared" ref="I53:I82" si="0">C53+E53+G53</f>
        <v>319813.43</v>
      </c>
      <c r="J53" s="78">
        <f>IF(A53&lt;='Indicadores Financeiros'!$F$14,SUMIFS('Relatório Custo'!$Z:$Z,'Relatório Custo'!$W:$W,"&lt;="&amp;'Custo  Resumido'!$A53),0)</f>
        <v>95212.479999999981</v>
      </c>
      <c r="K53" s="78">
        <f>ROUND(J53*$J$48,2)</f>
        <v>30458.47</v>
      </c>
      <c r="L53" s="151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</row>
    <row r="54" spans="1:193" x14ac:dyDescent="0.25">
      <c r="A54" s="476">
        <v>2</v>
      </c>
      <c r="B54" s="477"/>
      <c r="C54" s="252">
        <f>IF(A54&lt;='Indicadores Financeiros'!$F$14,SUMIFS('Relatório Custo'!$V:$V,'Relatório Custo'!$H:$H,'Custo  Resumido'!$C$52,'Relatório Custo'!$W:$W,"&lt;="&amp;'Custo  Resumido'!$A54),0)</f>
        <v>319813.43</v>
      </c>
      <c r="D54" s="253"/>
      <c r="E54" s="471">
        <f>IF(A54&lt;='Indicadores Financeiros'!$F$14,SUMIFS('Relatório Custo'!$V:$V,'Relatório Custo'!$H:$H,'Custo  Resumido'!$E$52,'Relatório Custo'!$W:$W,"&lt;="&amp;'Custo  Resumido'!$A54),0)</f>
        <v>10.18</v>
      </c>
      <c r="F54" s="472"/>
      <c r="G54" s="471"/>
      <c r="H54" s="472"/>
      <c r="I54" s="78">
        <f t="shared" si="0"/>
        <v>319823.61</v>
      </c>
      <c r="J54" s="78">
        <f>IF(A54&lt;='Indicadores Financeiros'!$F$14,SUMIFS('Relatório Custo'!$Z:$Z,'Relatório Custo'!$W:$W,"&lt;="&amp;'Custo  Resumido'!$A54),0)</f>
        <v>95212.479999999981</v>
      </c>
      <c r="K54" s="78">
        <f t="shared" ref="K54:K82" si="1">ROUND(J54*$J$48,2)</f>
        <v>30458.47</v>
      </c>
      <c r="L54" s="9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</row>
    <row r="55" spans="1:193" x14ac:dyDescent="0.25">
      <c r="A55" s="476">
        <v>3</v>
      </c>
      <c r="B55" s="477"/>
      <c r="C55" s="252">
        <f>IF(A55&lt;='Indicadores Financeiros'!$F$14,SUMIFS('Relatório Custo'!$V:$V,'Relatório Custo'!$H:$H,'Custo  Resumido'!$C$52,'Relatório Custo'!$W:$W,"&lt;="&amp;'Custo  Resumido'!$A55),0)</f>
        <v>319813.43</v>
      </c>
      <c r="D55" s="253"/>
      <c r="E55" s="471"/>
      <c r="F55" s="472"/>
      <c r="G55" s="471"/>
      <c r="H55" s="472"/>
      <c r="I55" s="78">
        <f t="shared" si="0"/>
        <v>319813.43</v>
      </c>
      <c r="J55" s="78">
        <f>IF(A55&lt;='Indicadores Financeiros'!$F$14,SUMIFS('Relatório Custo'!$Z:$Z,'Relatório Custo'!$W:$W,"&lt;="&amp;'Custo  Resumido'!$A55),0)</f>
        <v>95212.479999999981</v>
      </c>
      <c r="K55" s="78">
        <f t="shared" si="1"/>
        <v>30458.47</v>
      </c>
      <c r="L55" s="98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</row>
    <row r="56" spans="1:193" x14ac:dyDescent="0.25">
      <c r="A56" s="476">
        <v>4</v>
      </c>
      <c r="B56" s="477"/>
      <c r="C56" s="252">
        <f>IF(A56&lt;='Indicadores Financeiros'!$F$14,SUMIFS('Relatório Custo'!$V:$V,'Relatório Custo'!$H:$H,'Custo  Resumido'!$C$52,'Relatório Custo'!$W:$W,"&lt;="&amp;'Custo  Resumido'!$A56),0)</f>
        <v>319813.43</v>
      </c>
      <c r="D56" s="253"/>
      <c r="E56" s="471"/>
      <c r="F56" s="472"/>
      <c r="G56" s="471"/>
      <c r="H56" s="472"/>
      <c r="I56" s="78">
        <f t="shared" si="0"/>
        <v>319813.43</v>
      </c>
      <c r="J56" s="78">
        <f>IF(A56&lt;='Indicadores Financeiros'!$F$14,SUMIFS('Relatório Custo'!$Z:$Z,'Relatório Custo'!$W:$W,"&lt;="&amp;'Custo  Resumido'!$A56),0)</f>
        <v>95212.479999999981</v>
      </c>
      <c r="K56" s="78">
        <f t="shared" si="1"/>
        <v>30458.47</v>
      </c>
      <c r="L56" s="98"/>
      <c r="M56"/>
      <c r="N56" s="333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</row>
    <row r="57" spans="1:193" x14ac:dyDescent="0.25">
      <c r="A57" s="476">
        <v>5</v>
      </c>
      <c r="B57" s="477"/>
      <c r="C57" s="252">
        <f>IF(A57&lt;='Indicadores Financeiros'!$F$14,SUMIFS('Relatório Custo'!$V:$V,'Relatório Custo'!$H:$H,'Custo  Resumido'!$C$52,'Relatório Custo'!$W:$W,"&lt;="&amp;'Custo  Resumido'!$A57),0)</f>
        <v>319813.43</v>
      </c>
      <c r="D57" s="253"/>
      <c r="E57" s="471">
        <f>IF(A57&lt;='Indicadores Financeiros'!$F$14,SUMIFS('Relatório Custo'!$V:$V,'Relatório Custo'!$H:$H,'Custo  Resumido'!$E$52,'Relatório Custo'!$W:$W,"&lt;="&amp;'Custo  Resumido'!$A57),0)</f>
        <v>10.18</v>
      </c>
      <c r="F57" s="472"/>
      <c r="G57" s="471"/>
      <c r="H57" s="472"/>
      <c r="I57" s="78">
        <f t="shared" si="0"/>
        <v>319823.61</v>
      </c>
      <c r="J57" s="78">
        <f>IF(A57&lt;='Indicadores Financeiros'!$F$14,SUMIFS('Relatório Custo'!$Z:$Z,'Relatório Custo'!$W:$W,"&lt;="&amp;'Custo  Resumido'!$A57),0)</f>
        <v>95212.479999999981</v>
      </c>
      <c r="K57" s="78">
        <f t="shared" si="1"/>
        <v>30458.47</v>
      </c>
      <c r="L57" s="9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</row>
    <row r="58" spans="1:193" x14ac:dyDescent="0.25">
      <c r="A58" s="476">
        <v>6</v>
      </c>
      <c r="B58" s="477"/>
      <c r="C58" s="252">
        <f>IF(A58&lt;='Indicadores Financeiros'!$F$14,SUMIFS('Relatório Custo'!$V:$V,'Relatório Custo'!$H:$H,'Custo  Resumido'!$C$52,'Relatório Custo'!$W:$W,"&lt;="&amp;'Custo  Resumido'!$A58),0)</f>
        <v>319813.43</v>
      </c>
      <c r="D58" s="253"/>
      <c r="E58" s="471"/>
      <c r="F58" s="472"/>
      <c r="G58" s="471"/>
      <c r="H58" s="472"/>
      <c r="I58" s="78">
        <f t="shared" si="0"/>
        <v>319813.43</v>
      </c>
      <c r="J58" s="78">
        <f>IF(A58&lt;='Indicadores Financeiros'!$F$14,SUMIFS('Relatório Custo'!$Z:$Z,'Relatório Custo'!$W:$W,"&lt;="&amp;'Custo  Resumido'!$A58),0)</f>
        <v>95212.479999999981</v>
      </c>
      <c r="K58" s="78">
        <f t="shared" si="1"/>
        <v>30458.47</v>
      </c>
      <c r="L58" s="9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</row>
    <row r="59" spans="1:193" x14ac:dyDescent="0.25">
      <c r="A59" s="476">
        <v>7</v>
      </c>
      <c r="B59" s="477"/>
      <c r="C59" s="252">
        <f>IF(A59&lt;='Indicadores Financeiros'!$F$14,SUMIFS('Relatório Custo'!$V:$V,'Relatório Custo'!$H:$H,'Custo  Resumido'!$C$52,'Relatório Custo'!$W:$W,"&lt;="&amp;'Custo  Resumido'!$A59),0)</f>
        <v>319813.43</v>
      </c>
      <c r="D59" s="253"/>
      <c r="E59" s="471"/>
      <c r="F59" s="472"/>
      <c r="G59" s="471"/>
      <c r="H59" s="472"/>
      <c r="I59" s="78">
        <f t="shared" si="0"/>
        <v>319813.43</v>
      </c>
      <c r="J59" s="78">
        <f>IF(A59&lt;='Indicadores Financeiros'!$F$14,SUMIFS('Relatório Custo'!$Z:$Z,'Relatório Custo'!$W:$W,"&lt;="&amp;'Custo  Resumido'!$A59),0)</f>
        <v>95212.479999999981</v>
      </c>
      <c r="K59" s="78">
        <f t="shared" si="1"/>
        <v>30458.47</v>
      </c>
      <c r="L59" s="9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</row>
    <row r="60" spans="1:193" x14ac:dyDescent="0.25">
      <c r="A60" s="476">
        <v>8</v>
      </c>
      <c r="B60" s="477"/>
      <c r="C60" s="252">
        <f>IF(A60&lt;='Indicadores Financeiros'!$F$14,SUMIFS('Relatório Custo'!$V:$V,'Relatório Custo'!$H:$H,'Custo  Resumido'!$C$52,'Relatório Custo'!$W:$W,"&lt;="&amp;'Custo  Resumido'!$A60),0)</f>
        <v>319813.43</v>
      </c>
      <c r="D60" s="253"/>
      <c r="E60" s="471">
        <f>IF(A60&lt;='Indicadores Financeiros'!$F$14,SUMIFS('Relatório Custo'!$V:$V,'Relatório Custo'!$H:$H,'Custo  Resumido'!$E$52,'Relatório Custo'!$W:$W,"&lt;="&amp;'Custo  Resumido'!$A60),0)</f>
        <v>10.18</v>
      </c>
      <c r="F60" s="472"/>
      <c r="G60" s="471"/>
      <c r="H60" s="472"/>
      <c r="I60" s="78">
        <f t="shared" si="0"/>
        <v>319823.61</v>
      </c>
      <c r="J60" s="78">
        <f>IF(A60&lt;='Indicadores Financeiros'!$F$14,SUMIFS('Relatório Custo'!$Z:$Z,'Relatório Custo'!$W:$W,"&lt;="&amp;'Custo  Resumido'!$A60),0)</f>
        <v>95212.479999999981</v>
      </c>
      <c r="K60" s="78">
        <f t="shared" si="1"/>
        <v>30458.47</v>
      </c>
      <c r="L60" s="9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</row>
    <row r="61" spans="1:193" x14ac:dyDescent="0.25">
      <c r="A61" s="476">
        <v>9</v>
      </c>
      <c r="B61" s="477"/>
      <c r="C61" s="252">
        <f>IF(A61&lt;='Indicadores Financeiros'!$F$14,SUMIFS('Relatório Custo'!$V:$V,'Relatório Custo'!$H:$H,'Custo  Resumido'!$C$52,'Relatório Custo'!$W:$W,"&lt;="&amp;'Custo  Resumido'!$A61),0)</f>
        <v>319813.43</v>
      </c>
      <c r="D61" s="253"/>
      <c r="E61" s="471"/>
      <c r="F61" s="472"/>
      <c r="G61" s="471"/>
      <c r="H61" s="472"/>
      <c r="I61" s="78">
        <f t="shared" si="0"/>
        <v>319813.43</v>
      </c>
      <c r="J61" s="78">
        <f>IF(A61&lt;='Indicadores Financeiros'!$F$14,SUMIFS('Relatório Custo'!$Z:$Z,'Relatório Custo'!$W:$W,"&lt;="&amp;'Custo  Resumido'!$A61),0)</f>
        <v>95212.479999999981</v>
      </c>
      <c r="K61" s="78">
        <f t="shared" si="1"/>
        <v>30458.47</v>
      </c>
      <c r="L61" s="9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</row>
    <row r="62" spans="1:193" x14ac:dyDescent="0.25">
      <c r="A62" s="476">
        <v>10</v>
      </c>
      <c r="B62" s="477"/>
      <c r="C62" s="252">
        <f>IF(A62&lt;='Indicadores Financeiros'!$F$14,SUMIFS('Relatório Custo'!$V:$V,'Relatório Custo'!$H:$H,'Custo  Resumido'!$C$52,'Relatório Custo'!$W:$W,"&lt;="&amp;'Custo  Resumido'!$A62),0)</f>
        <v>319813.43</v>
      </c>
      <c r="D62" s="253"/>
      <c r="E62" s="471"/>
      <c r="F62" s="472"/>
      <c r="G62" s="471"/>
      <c r="H62" s="472"/>
      <c r="I62" s="78">
        <f t="shared" si="0"/>
        <v>319813.43</v>
      </c>
      <c r="J62" s="78">
        <f>IF(A62&lt;='Indicadores Financeiros'!$F$14,SUMIFS('Relatório Custo'!$Z:$Z,'Relatório Custo'!$W:$W,"&lt;="&amp;'Custo  Resumido'!$A62),0)</f>
        <v>95212.479999999981</v>
      </c>
      <c r="K62" s="78">
        <f t="shared" si="1"/>
        <v>30458.47</v>
      </c>
      <c r="L62" s="9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</row>
    <row r="63" spans="1:193" x14ac:dyDescent="0.25">
      <c r="A63" s="476">
        <v>11</v>
      </c>
      <c r="B63" s="477"/>
      <c r="C63" s="252">
        <f>IF(A63&lt;='Indicadores Financeiros'!$F$14,SUMIFS('Relatório Custo'!$V:$V,'Relatório Custo'!$H:$H,'Custo  Resumido'!$C$52,'Relatório Custo'!$W:$W,"&lt;="&amp;'Custo  Resumido'!$A63),0)</f>
        <v>319813.43</v>
      </c>
      <c r="D63" s="253"/>
      <c r="E63" s="471">
        <f>IF(A63&lt;='Indicadores Financeiros'!$F$14,SUMIFS('Relatório Custo'!$V:$V,'Relatório Custo'!$H:$H,'Custo  Resumido'!$E$52,'Relatório Custo'!$W:$W,"&lt;="&amp;'Custo  Resumido'!$A63),0)</f>
        <v>10.18</v>
      </c>
      <c r="F63" s="472"/>
      <c r="G63" s="471"/>
      <c r="H63" s="472"/>
      <c r="I63" s="78">
        <f t="shared" si="0"/>
        <v>319823.61</v>
      </c>
      <c r="J63" s="78">
        <f>IF(A63&lt;='Indicadores Financeiros'!$F$14,SUMIFS('Relatório Custo'!$Z:$Z,'Relatório Custo'!$W:$W,"&lt;="&amp;'Custo  Resumido'!$A63),0)</f>
        <v>95212.479999999981</v>
      </c>
      <c r="K63" s="78">
        <f t="shared" si="1"/>
        <v>30458.47</v>
      </c>
      <c r="L63" s="9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</row>
    <row r="64" spans="1:193" x14ac:dyDescent="0.25">
      <c r="A64" s="476">
        <v>12</v>
      </c>
      <c r="B64" s="477"/>
      <c r="C64" s="252">
        <f>IF(A64&lt;='Indicadores Financeiros'!$F$14,SUMIFS('Relatório Custo'!$V:$V,'Relatório Custo'!$H:$H,'Custo  Resumido'!$C$52,'Relatório Custo'!$W:$W,"&lt;="&amp;'Custo  Resumido'!$A64),0)</f>
        <v>319813.43</v>
      </c>
      <c r="D64" s="253"/>
      <c r="E64" s="471"/>
      <c r="F64" s="472"/>
      <c r="G64" s="471">
        <f>IF(A64&lt;='Indicadores Financeiros'!$F$14,SUMIFS('Relatório Custo'!$V:$V,'Relatório Custo'!$H:$H,'Custo  Resumido'!$G$52,'Relatório Custo'!$W:$W,"&lt;="&amp;'Custo  Resumido'!$A64),0)</f>
        <v>2609.7799999999997</v>
      </c>
      <c r="H64" s="472"/>
      <c r="I64" s="78">
        <f t="shared" si="0"/>
        <v>322423.21000000002</v>
      </c>
      <c r="J64" s="78">
        <f>IF(A64&lt;='Indicadores Financeiros'!$F$14,SUMIFS('Relatório Custo'!$Z:$Z,'Relatório Custo'!$W:$W,"&lt;="&amp;'Custo  Resumido'!$A64),0)</f>
        <v>95212.479999999981</v>
      </c>
      <c r="K64" s="78">
        <f t="shared" si="1"/>
        <v>30458.47</v>
      </c>
      <c r="L64" s="9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</row>
    <row r="65" spans="1:193" x14ac:dyDescent="0.25">
      <c r="A65" s="476">
        <v>13</v>
      </c>
      <c r="B65" s="477"/>
      <c r="C65" s="252">
        <f>IF(A65&lt;='Indicadores Financeiros'!$F$14,SUMIFS('Relatório Custo'!$V:$V,'Relatório Custo'!$H:$H,'Custo  Resumido'!$C$52,'Relatório Custo'!$W:$W,"&lt;="&amp;'Custo  Resumido'!$A65),0)</f>
        <v>319813.43</v>
      </c>
      <c r="D65" s="253"/>
      <c r="E65" s="471"/>
      <c r="F65" s="472"/>
      <c r="G65" s="471"/>
      <c r="H65" s="472"/>
      <c r="I65" s="78">
        <f t="shared" si="0"/>
        <v>319813.43</v>
      </c>
      <c r="J65" s="78">
        <f>IF(A65&lt;='Indicadores Financeiros'!$F$14,SUMIFS('Relatório Custo'!$Z:$Z,'Relatório Custo'!$W:$W,"&lt;="&amp;'Custo  Resumido'!$A65),0)</f>
        <v>95212.479999999981</v>
      </c>
      <c r="K65" s="78">
        <f t="shared" si="1"/>
        <v>30458.47</v>
      </c>
      <c r="L65" s="9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</row>
    <row r="66" spans="1:193" x14ac:dyDescent="0.25">
      <c r="A66" s="476">
        <v>14</v>
      </c>
      <c r="B66" s="477"/>
      <c r="C66" s="252">
        <f>IF(A66&lt;='Indicadores Financeiros'!$F$14,SUMIFS('Relatório Custo'!$V:$V,'Relatório Custo'!$H:$H,'Custo  Resumido'!$C$52,'Relatório Custo'!$W:$W,"&lt;="&amp;'Custo  Resumido'!$A66),0)</f>
        <v>319813.43</v>
      </c>
      <c r="D66" s="253"/>
      <c r="E66" s="471">
        <f>IF(A66&lt;='Indicadores Financeiros'!$F$14,SUMIFS('Relatório Custo'!$V:$V,'Relatório Custo'!$H:$H,'Custo  Resumido'!$E$52,'Relatório Custo'!$W:$W,"&lt;="&amp;'Custo  Resumido'!$A66),0)</f>
        <v>10.18</v>
      </c>
      <c r="F66" s="472"/>
      <c r="G66" s="471"/>
      <c r="H66" s="472"/>
      <c r="I66" s="78">
        <f t="shared" si="0"/>
        <v>319823.61</v>
      </c>
      <c r="J66" s="78">
        <f>IF(A66&lt;='Indicadores Financeiros'!$F$14,SUMIFS('Relatório Custo'!$Z:$Z,'Relatório Custo'!$W:$W,"&lt;="&amp;'Custo  Resumido'!$A66),0)</f>
        <v>95212.479999999981</v>
      </c>
      <c r="K66" s="78">
        <f t="shared" si="1"/>
        <v>30458.47</v>
      </c>
      <c r="L66" s="9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</row>
    <row r="67" spans="1:193" x14ac:dyDescent="0.25">
      <c r="A67" s="476">
        <v>15</v>
      </c>
      <c r="B67" s="477"/>
      <c r="C67" s="252">
        <f>IF(A67&lt;='Indicadores Financeiros'!$F$14,SUMIFS('Relatório Custo'!$V:$V,'Relatório Custo'!$H:$H,'Custo  Resumido'!$C$52,'Relatório Custo'!$W:$W,"&lt;="&amp;'Custo  Resumido'!$A67),0)</f>
        <v>319813.43</v>
      </c>
      <c r="D67" s="253"/>
      <c r="E67" s="471"/>
      <c r="F67" s="472"/>
      <c r="G67" s="471"/>
      <c r="H67" s="472"/>
      <c r="I67" s="78">
        <f t="shared" si="0"/>
        <v>319813.43</v>
      </c>
      <c r="J67" s="78">
        <f>IF(A67&lt;='Indicadores Financeiros'!$F$14,SUMIFS('Relatório Custo'!$Z:$Z,'Relatório Custo'!$W:$W,"&lt;="&amp;'Custo  Resumido'!$A67),0)</f>
        <v>95212.479999999981</v>
      </c>
      <c r="K67" s="78">
        <f t="shared" si="1"/>
        <v>30458.47</v>
      </c>
      <c r="L67" s="9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</row>
    <row r="68" spans="1:193" x14ac:dyDescent="0.25">
      <c r="A68" s="476">
        <v>16</v>
      </c>
      <c r="B68" s="477"/>
      <c r="C68" s="252">
        <f>IF(A68&lt;='Indicadores Financeiros'!$F$14,SUMIFS('Relatório Custo'!$V:$V,'Relatório Custo'!$H:$H,'Custo  Resumido'!$C$52,'Relatório Custo'!$W:$W,"&lt;="&amp;'Custo  Resumido'!$A68),0)</f>
        <v>319813.43</v>
      </c>
      <c r="D68" s="253"/>
      <c r="E68" s="471"/>
      <c r="F68" s="472"/>
      <c r="G68" s="471"/>
      <c r="H68" s="472"/>
      <c r="I68" s="78">
        <f t="shared" si="0"/>
        <v>319813.43</v>
      </c>
      <c r="J68" s="78">
        <f>IF(A68&lt;='Indicadores Financeiros'!$F$14,SUMIFS('Relatório Custo'!$Z:$Z,'Relatório Custo'!$W:$W,"&lt;="&amp;'Custo  Resumido'!$A68),0)</f>
        <v>95212.479999999981</v>
      </c>
      <c r="K68" s="78">
        <f t="shared" si="1"/>
        <v>30458.47</v>
      </c>
      <c r="L68" s="9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</row>
    <row r="69" spans="1:193" x14ac:dyDescent="0.25">
      <c r="A69" s="476">
        <v>17</v>
      </c>
      <c r="B69" s="477"/>
      <c r="C69" s="252">
        <f>IF(A69&lt;='Indicadores Financeiros'!$F$14,SUMIFS('Relatório Custo'!$V:$V,'Relatório Custo'!$H:$H,'Custo  Resumido'!$C$52,'Relatório Custo'!$W:$W,"&lt;="&amp;'Custo  Resumido'!$A69),0)</f>
        <v>319813.43</v>
      </c>
      <c r="D69" s="253"/>
      <c r="E69" s="471">
        <f>IF(A69&lt;='Indicadores Financeiros'!$F$14,SUMIFS('Relatório Custo'!$V:$V,'Relatório Custo'!$H:$H,'Custo  Resumido'!$E$52,'Relatório Custo'!$W:$W,"&lt;="&amp;'Custo  Resumido'!$A69),0)</f>
        <v>10.18</v>
      </c>
      <c r="F69" s="472"/>
      <c r="G69" s="471"/>
      <c r="H69" s="472"/>
      <c r="I69" s="78">
        <f t="shared" si="0"/>
        <v>319823.61</v>
      </c>
      <c r="J69" s="78">
        <f>IF(A69&lt;='Indicadores Financeiros'!$F$14,SUMIFS('Relatório Custo'!$Z:$Z,'Relatório Custo'!$W:$W,"&lt;="&amp;'Custo  Resumido'!$A69),0)</f>
        <v>95212.479999999981</v>
      </c>
      <c r="K69" s="78">
        <f t="shared" si="1"/>
        <v>30458.47</v>
      </c>
      <c r="L69" s="9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</row>
    <row r="70" spans="1:193" x14ac:dyDescent="0.25">
      <c r="A70" s="476">
        <v>18</v>
      </c>
      <c r="B70" s="477"/>
      <c r="C70" s="252">
        <f>IF(A70&lt;='Indicadores Financeiros'!$F$14,SUMIFS('Relatório Custo'!$V:$V,'Relatório Custo'!$H:$H,'Custo  Resumido'!$C$52,'Relatório Custo'!$W:$W,"&lt;="&amp;'Custo  Resumido'!$A70),0)</f>
        <v>319813.43</v>
      </c>
      <c r="D70" s="253"/>
      <c r="E70" s="471"/>
      <c r="F70" s="472"/>
      <c r="G70" s="471"/>
      <c r="H70" s="472"/>
      <c r="I70" s="78">
        <f t="shared" si="0"/>
        <v>319813.43</v>
      </c>
      <c r="J70" s="78">
        <f>IF(A70&lt;='Indicadores Financeiros'!$F$14,SUMIFS('Relatório Custo'!$Z:$Z,'Relatório Custo'!$W:$W,"&lt;="&amp;'Custo  Resumido'!$A70),0)</f>
        <v>95212.479999999981</v>
      </c>
      <c r="K70" s="78">
        <f t="shared" si="1"/>
        <v>30458.47</v>
      </c>
      <c r="L70" s="9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</row>
    <row r="71" spans="1:193" x14ac:dyDescent="0.25">
      <c r="A71" s="476">
        <v>19</v>
      </c>
      <c r="B71" s="477"/>
      <c r="C71" s="252">
        <f>IF(A71&lt;='Indicadores Financeiros'!$F$14,SUMIFS('Relatório Custo'!$V:$V,'Relatório Custo'!$H:$H,'Custo  Resumido'!$C$52,'Relatório Custo'!$W:$W,"&lt;="&amp;'Custo  Resumido'!$A71),0)</f>
        <v>319813.43</v>
      </c>
      <c r="D71" s="253"/>
      <c r="E71" s="471"/>
      <c r="F71" s="472"/>
      <c r="G71" s="471"/>
      <c r="H71" s="472"/>
      <c r="I71" s="78">
        <f t="shared" si="0"/>
        <v>319813.43</v>
      </c>
      <c r="J71" s="78">
        <f>IF(A71&lt;='Indicadores Financeiros'!$F$14,SUMIFS('Relatório Custo'!$Z:$Z,'Relatório Custo'!$W:$W,"&lt;="&amp;'Custo  Resumido'!$A71),0)</f>
        <v>95212.479999999981</v>
      </c>
      <c r="K71" s="78">
        <f t="shared" si="1"/>
        <v>30458.47</v>
      </c>
      <c r="L71" s="9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</row>
    <row r="72" spans="1:193" x14ac:dyDescent="0.25">
      <c r="A72" s="476">
        <v>20</v>
      </c>
      <c r="B72" s="477"/>
      <c r="C72" s="252">
        <f>IF(A72&lt;='Indicadores Financeiros'!$F$14,SUMIFS('Relatório Custo'!$V:$V,'Relatório Custo'!$H:$H,'Custo  Resumido'!$C$52,'Relatório Custo'!$W:$W,"&lt;="&amp;'Custo  Resumido'!$A72),0)</f>
        <v>319813.43</v>
      </c>
      <c r="D72" s="253"/>
      <c r="E72" s="471">
        <f>IF(A72&lt;='Indicadores Financeiros'!$F$14,SUMIFS('Relatório Custo'!$V:$V,'Relatório Custo'!$H:$H,'Custo  Resumido'!$E$52,'Relatório Custo'!$W:$W,"&lt;="&amp;'Custo  Resumido'!$A72),0)</f>
        <v>10.18</v>
      </c>
      <c r="F72" s="472"/>
      <c r="G72" s="471"/>
      <c r="H72" s="472"/>
      <c r="I72" s="78">
        <f t="shared" si="0"/>
        <v>319823.61</v>
      </c>
      <c r="J72" s="78">
        <f>IF(A72&lt;='Indicadores Financeiros'!$F$14,SUMIFS('Relatório Custo'!$Z:$Z,'Relatório Custo'!$W:$W,"&lt;="&amp;'Custo  Resumido'!$A72),0)</f>
        <v>95212.479999999981</v>
      </c>
      <c r="K72" s="78">
        <f t="shared" si="1"/>
        <v>30458.47</v>
      </c>
      <c r="L72" s="9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</row>
    <row r="73" spans="1:193" s="76" customFormat="1" x14ac:dyDescent="0.25">
      <c r="A73" s="476">
        <v>21</v>
      </c>
      <c r="B73" s="477"/>
      <c r="C73" s="252">
        <f>IF(A73&lt;='Indicadores Financeiros'!$F$14,SUMIFS('Relatório Custo'!$V:$V,'Relatório Custo'!$H:$H,'Custo  Resumido'!$C$52,'Relatório Custo'!$W:$W,"&lt;="&amp;'Custo  Resumido'!$A73),0)</f>
        <v>319813.43</v>
      </c>
      <c r="D73" s="253"/>
      <c r="E73" s="471"/>
      <c r="F73" s="472"/>
      <c r="G73" s="471"/>
      <c r="H73" s="472"/>
      <c r="I73" s="78">
        <f t="shared" si="0"/>
        <v>319813.43</v>
      </c>
      <c r="J73" s="78">
        <f>IF(A73&lt;='Indicadores Financeiros'!$F$14,SUMIFS('Relatório Custo'!$Z:$Z,'Relatório Custo'!$W:$W,"&lt;="&amp;'Custo  Resumido'!$A73),0)</f>
        <v>95212.479999999981</v>
      </c>
      <c r="K73" s="78">
        <f t="shared" si="1"/>
        <v>30458.47</v>
      </c>
      <c r="L73" s="98"/>
    </row>
    <row r="74" spans="1:193" s="76" customFormat="1" x14ac:dyDescent="0.25">
      <c r="A74" s="476">
        <v>22</v>
      </c>
      <c r="B74" s="477"/>
      <c r="C74" s="252">
        <f>IF(A74&lt;='Indicadores Financeiros'!$F$14,SUMIFS('Relatório Custo'!$V:$V,'Relatório Custo'!$H:$H,'Custo  Resumido'!$C$52,'Relatório Custo'!$W:$W,"&lt;="&amp;'Custo  Resumido'!$A74),0)</f>
        <v>319813.43</v>
      </c>
      <c r="D74" s="253"/>
      <c r="E74" s="471"/>
      <c r="F74" s="472"/>
      <c r="G74" s="471"/>
      <c r="H74" s="472"/>
      <c r="I74" s="78">
        <f t="shared" si="0"/>
        <v>319813.43</v>
      </c>
      <c r="J74" s="78">
        <f>IF(A74&lt;='Indicadores Financeiros'!$F$14,SUMIFS('Relatório Custo'!$Z:$Z,'Relatório Custo'!$W:$W,"&lt;="&amp;'Custo  Resumido'!$A74),0)</f>
        <v>95212.479999999981</v>
      </c>
      <c r="K74" s="78">
        <f t="shared" si="1"/>
        <v>30458.47</v>
      </c>
      <c r="L74" s="98"/>
    </row>
    <row r="75" spans="1:193" s="76" customFormat="1" x14ac:dyDescent="0.25">
      <c r="A75" s="476">
        <v>23</v>
      </c>
      <c r="B75" s="477"/>
      <c r="C75" s="252">
        <f>IF(A75&lt;='Indicadores Financeiros'!$F$14,SUMIFS('Relatório Custo'!$V:$V,'Relatório Custo'!$H:$H,'Custo  Resumido'!$C$52,'Relatório Custo'!$W:$W,"&lt;="&amp;'Custo  Resumido'!$A75),0)</f>
        <v>319813.43</v>
      </c>
      <c r="D75" s="253"/>
      <c r="E75" s="471">
        <f>IF(A75&lt;='Indicadores Financeiros'!$F$14,SUMIFS('Relatório Custo'!$V:$V,'Relatório Custo'!$H:$H,'Custo  Resumido'!$E$52,'Relatório Custo'!$W:$W,"&lt;="&amp;'Custo  Resumido'!$A75),0)</f>
        <v>10.18</v>
      </c>
      <c r="F75" s="472"/>
      <c r="G75" s="471"/>
      <c r="H75" s="472"/>
      <c r="I75" s="78">
        <f t="shared" si="0"/>
        <v>319823.61</v>
      </c>
      <c r="J75" s="78">
        <f>IF(A75&lt;='Indicadores Financeiros'!$F$14,SUMIFS('Relatório Custo'!$Z:$Z,'Relatório Custo'!$W:$W,"&lt;="&amp;'Custo  Resumido'!$A75),0)</f>
        <v>95212.479999999981</v>
      </c>
      <c r="K75" s="78">
        <f t="shared" si="1"/>
        <v>30458.47</v>
      </c>
      <c r="L75" s="98"/>
    </row>
    <row r="76" spans="1:193" s="76" customFormat="1" x14ac:dyDescent="0.25">
      <c r="A76" s="476">
        <v>24</v>
      </c>
      <c r="B76" s="477"/>
      <c r="C76" s="252">
        <f>IF(A76&lt;='Indicadores Financeiros'!$F$14,SUMIFS('Relatório Custo'!$V:$V,'Relatório Custo'!$H:$H,'Custo  Resumido'!$C$52,'Relatório Custo'!$W:$W,"&lt;="&amp;'Custo  Resumido'!$A76),0)</f>
        <v>319813.43</v>
      </c>
      <c r="D76" s="253"/>
      <c r="E76" s="471"/>
      <c r="F76" s="472"/>
      <c r="G76" s="471">
        <f>IF(A76&lt;='Indicadores Financeiros'!$F$14,SUMIFS('Relatório Custo'!$V:$V,'Relatório Custo'!$H:$H,'Custo  Resumido'!$G$52,'Relatório Custo'!$W:$W,"&lt;="&amp;'Custo  Resumido'!$A76),0)</f>
        <v>2609.7799999999997</v>
      </c>
      <c r="H76" s="472"/>
      <c r="I76" s="78">
        <f t="shared" si="0"/>
        <v>322423.21000000002</v>
      </c>
      <c r="J76" s="78">
        <f>IF(A76&lt;='Indicadores Financeiros'!$F$14,SUMIFS('Relatório Custo'!$Z:$Z,'Relatório Custo'!$W:$W,"&lt;="&amp;'Custo  Resumido'!$A76),0)</f>
        <v>95212.479999999981</v>
      </c>
      <c r="K76" s="78">
        <f t="shared" si="1"/>
        <v>30458.47</v>
      </c>
      <c r="L76" s="98"/>
    </row>
    <row r="77" spans="1:193" s="76" customFormat="1" x14ac:dyDescent="0.25">
      <c r="A77" s="476">
        <v>25</v>
      </c>
      <c r="B77" s="477"/>
      <c r="C77" s="252">
        <f>IF(A77&lt;='Indicadores Financeiros'!$F$14,SUMIFS('Relatório Custo'!$V:$V,'Relatório Custo'!$H:$H,'Custo  Resumido'!$C$52,'Relatório Custo'!$W:$W,"&lt;="&amp;'Custo  Resumido'!$A77),0)</f>
        <v>319813.43</v>
      </c>
      <c r="D77" s="253"/>
      <c r="E77" s="471"/>
      <c r="F77" s="472"/>
      <c r="G77" s="471"/>
      <c r="H77" s="472"/>
      <c r="I77" s="78">
        <f t="shared" si="0"/>
        <v>319813.43</v>
      </c>
      <c r="J77" s="78">
        <f>IF(A77&lt;='Indicadores Financeiros'!$F$14,SUMIFS('Relatório Custo'!$Z:$Z,'Relatório Custo'!$W:$W,"&lt;="&amp;'Custo  Resumido'!$A77),0)</f>
        <v>95212.479999999981</v>
      </c>
      <c r="K77" s="78">
        <f t="shared" si="1"/>
        <v>30458.47</v>
      </c>
      <c r="L77" s="98"/>
    </row>
    <row r="78" spans="1:193" s="76" customFormat="1" x14ac:dyDescent="0.25">
      <c r="A78" s="476">
        <v>26</v>
      </c>
      <c r="B78" s="477"/>
      <c r="C78" s="252">
        <f>IF(A78&lt;='Indicadores Financeiros'!$F$14,SUMIFS('Relatório Custo'!$V:$V,'Relatório Custo'!$H:$H,'Custo  Resumido'!$C$52,'Relatório Custo'!$W:$W,"&lt;="&amp;'Custo  Resumido'!$A78),0)</f>
        <v>319813.43</v>
      </c>
      <c r="D78" s="253"/>
      <c r="E78" s="471">
        <f>IF(A78&lt;='Indicadores Financeiros'!$F$14,SUMIFS('Relatório Custo'!$V:$V,'Relatório Custo'!$H:$H,'Custo  Resumido'!$E$52,'Relatório Custo'!$W:$W,"&lt;="&amp;'Custo  Resumido'!$A78),0)</f>
        <v>10.18</v>
      </c>
      <c r="F78" s="472"/>
      <c r="G78" s="471"/>
      <c r="H78" s="472"/>
      <c r="I78" s="78">
        <f t="shared" si="0"/>
        <v>319823.61</v>
      </c>
      <c r="J78" s="78">
        <f>IF(A78&lt;='Indicadores Financeiros'!$F$14,SUMIFS('Relatório Custo'!$Z:$Z,'Relatório Custo'!$W:$W,"&lt;="&amp;'Custo  Resumido'!$A78),0)</f>
        <v>95212.479999999981</v>
      </c>
      <c r="K78" s="78">
        <f t="shared" si="1"/>
        <v>30458.47</v>
      </c>
      <c r="L78" s="98"/>
    </row>
    <row r="79" spans="1:193" s="76" customFormat="1" x14ac:dyDescent="0.25">
      <c r="A79" s="476">
        <v>27</v>
      </c>
      <c r="B79" s="477"/>
      <c r="C79" s="252">
        <f>IF(A79&lt;='Indicadores Financeiros'!$F$14,SUMIFS('Relatório Custo'!$V:$V,'Relatório Custo'!$H:$H,'Custo  Resumido'!$C$52,'Relatório Custo'!$W:$W,"&lt;="&amp;'Custo  Resumido'!$A79),0)</f>
        <v>319813.43</v>
      </c>
      <c r="D79" s="253"/>
      <c r="E79" s="471"/>
      <c r="F79" s="472"/>
      <c r="G79" s="471"/>
      <c r="H79" s="472"/>
      <c r="I79" s="78">
        <f t="shared" si="0"/>
        <v>319813.43</v>
      </c>
      <c r="J79" s="78">
        <f>IF(A79&lt;='Indicadores Financeiros'!$F$14,SUMIFS('Relatório Custo'!$Z:$Z,'Relatório Custo'!$W:$W,"&lt;="&amp;'Custo  Resumido'!$A79),0)</f>
        <v>95212.479999999981</v>
      </c>
      <c r="K79" s="78">
        <f t="shared" si="1"/>
        <v>30458.47</v>
      </c>
      <c r="L79" s="98"/>
    </row>
    <row r="80" spans="1:193" s="76" customFormat="1" x14ac:dyDescent="0.25">
      <c r="A80" s="476">
        <v>28</v>
      </c>
      <c r="B80" s="477"/>
      <c r="C80" s="252">
        <f>IF(A80&lt;='Indicadores Financeiros'!$F$14,SUMIFS('Relatório Custo'!$V:$V,'Relatório Custo'!$H:$H,'Custo  Resumido'!$C$52,'Relatório Custo'!$W:$W,"&lt;="&amp;'Custo  Resumido'!$A80),0)</f>
        <v>319813.43</v>
      </c>
      <c r="D80" s="253"/>
      <c r="E80" s="471"/>
      <c r="F80" s="472"/>
      <c r="G80" s="471"/>
      <c r="H80" s="472"/>
      <c r="I80" s="78">
        <f t="shared" si="0"/>
        <v>319813.43</v>
      </c>
      <c r="J80" s="78">
        <f>IF(A80&lt;='Indicadores Financeiros'!$F$14,SUMIFS('Relatório Custo'!$Z:$Z,'Relatório Custo'!$W:$W,"&lt;="&amp;'Custo  Resumido'!$A80),0)</f>
        <v>95212.479999999981</v>
      </c>
      <c r="K80" s="78">
        <f t="shared" si="1"/>
        <v>30458.47</v>
      </c>
      <c r="L80" s="98"/>
    </row>
    <row r="81" spans="1:12" s="76" customFormat="1" x14ac:dyDescent="0.25">
      <c r="A81" s="476">
        <v>29</v>
      </c>
      <c r="B81" s="477"/>
      <c r="C81" s="252">
        <f>IF(A81&lt;='Indicadores Financeiros'!$F$14,SUMIFS('Relatório Custo'!$V:$V,'Relatório Custo'!$H:$H,'Custo  Resumido'!$C$52,'Relatório Custo'!$W:$W,"&lt;="&amp;'Custo  Resumido'!$A81),0)</f>
        <v>319813.43</v>
      </c>
      <c r="D81" s="253"/>
      <c r="E81" s="471">
        <f>IF(A81&lt;='Indicadores Financeiros'!$F$14,SUMIFS('Relatório Custo'!$V:$V,'Relatório Custo'!$H:$H,'Custo  Resumido'!$E$52,'Relatório Custo'!$W:$W,"&lt;="&amp;'Custo  Resumido'!$A81),0)</f>
        <v>10.18</v>
      </c>
      <c r="F81" s="472"/>
      <c r="G81" s="471"/>
      <c r="H81" s="472"/>
      <c r="I81" s="78">
        <f t="shared" si="0"/>
        <v>319823.61</v>
      </c>
      <c r="J81" s="78">
        <f>IF(A81&lt;='Indicadores Financeiros'!$F$14,SUMIFS('Relatório Custo'!$Z:$Z,'Relatório Custo'!$W:$W,"&lt;="&amp;'Custo  Resumido'!$A81),0)</f>
        <v>95212.479999999981</v>
      </c>
      <c r="K81" s="78">
        <f t="shared" si="1"/>
        <v>30458.47</v>
      </c>
      <c r="L81" s="98"/>
    </row>
    <row r="82" spans="1:12" s="76" customFormat="1" x14ac:dyDescent="0.25">
      <c r="A82" s="476">
        <v>30</v>
      </c>
      <c r="B82" s="477"/>
      <c r="C82" s="252">
        <f>IF(A82&lt;='Indicadores Financeiros'!$F$14,SUMIFS('Relatório Custo'!$V:$V,'Relatório Custo'!$H:$H,'Custo  Resumido'!$C$52,'Relatório Custo'!$W:$W,"&lt;="&amp;'Custo  Resumido'!$A82),0)</f>
        <v>319813.43</v>
      </c>
      <c r="D82" s="253"/>
      <c r="E82" s="471"/>
      <c r="F82" s="472"/>
      <c r="G82" s="471"/>
      <c r="H82" s="472"/>
      <c r="I82" s="78">
        <f t="shared" si="0"/>
        <v>319813.43</v>
      </c>
      <c r="J82" s="78">
        <f>IF(A82&lt;='Indicadores Financeiros'!$F$14,SUMIFS('Relatório Custo'!$Z:$Z,'Relatório Custo'!$W:$W,"&lt;="&amp;'Custo  Resumido'!$A82),0)</f>
        <v>95212.479999999981</v>
      </c>
      <c r="K82" s="78">
        <f t="shared" si="1"/>
        <v>30458.47</v>
      </c>
      <c r="L82" s="98"/>
    </row>
    <row r="83" spans="1:12" s="76" customFormat="1" ht="11.25" x14ac:dyDescent="0.25">
      <c r="A83" s="177" t="s">
        <v>236</v>
      </c>
      <c r="B83" s="177"/>
      <c r="C83" s="469">
        <f>ROUND(SUM(C53:D82),2)</f>
        <v>9594402.9000000004</v>
      </c>
      <c r="D83" s="470"/>
      <c r="E83" s="469">
        <f>ROUND(SUM(E53:F82),2)</f>
        <v>101.8</v>
      </c>
      <c r="F83" s="470"/>
      <c r="G83" s="469">
        <f>ROUND(SUM(G53:H82),2)</f>
        <v>5219.5600000000004</v>
      </c>
      <c r="H83" s="470"/>
      <c r="I83" s="150">
        <f>ROUND(SUM(I53:I82),2)</f>
        <v>9599724.2599999998</v>
      </c>
      <c r="J83" s="150">
        <f t="shared" ref="J83" si="2">ROUND(SUM(J53:J82),2)</f>
        <v>2856374.4</v>
      </c>
      <c r="K83" s="150">
        <f>ROUND(SUM(K53:K82),2)</f>
        <v>913754.1</v>
      </c>
      <c r="L83" s="98"/>
    </row>
    <row r="84" spans="1:12" s="76" customFormat="1" ht="11.25" x14ac:dyDescent="0.25">
      <c r="C84" s="99"/>
      <c r="D84" s="236"/>
      <c r="E84" s="99"/>
      <c r="F84" s="99"/>
      <c r="G84" s="99"/>
      <c r="H84" s="99"/>
      <c r="I84" s="148">
        <f>I83-'Relatório Custo'!$X$756</f>
        <v>0</v>
      </c>
      <c r="J84" s="99"/>
      <c r="K84" s="148"/>
    </row>
    <row r="85" spans="1:12" s="76" customFormat="1" ht="11.25" x14ac:dyDescent="0.25">
      <c r="D85" s="237"/>
      <c r="K85" s="79"/>
    </row>
    <row r="86" spans="1:12" s="76" customFormat="1" ht="11.25" x14ac:dyDescent="0.25">
      <c r="D86" s="237"/>
    </row>
    <row r="87" spans="1:12" s="76" customFormat="1" ht="11.25" x14ac:dyDescent="0.25">
      <c r="D87" s="237"/>
    </row>
    <row r="88" spans="1:12" s="76" customFormat="1" ht="11.25" x14ac:dyDescent="0.25">
      <c r="D88" s="237"/>
    </row>
    <row r="89" spans="1:12" s="76" customFormat="1" ht="11.25" x14ac:dyDescent="0.25">
      <c r="D89" s="237"/>
    </row>
    <row r="90" spans="1:12" s="76" customFormat="1" ht="11.25" x14ac:dyDescent="0.25">
      <c r="D90" s="237"/>
    </row>
    <row r="91" spans="1:12" s="76" customFormat="1" ht="11.25" x14ac:dyDescent="0.25">
      <c r="D91" s="237"/>
    </row>
    <row r="92" spans="1:12" s="76" customFormat="1" ht="11.25" x14ac:dyDescent="0.25">
      <c r="D92" s="237"/>
    </row>
    <row r="93" spans="1:12" s="76" customFormat="1" ht="11.25" x14ac:dyDescent="0.25">
      <c r="D93" s="237"/>
    </row>
    <row r="94" spans="1:12" s="76" customFormat="1" ht="11.25" x14ac:dyDescent="0.25">
      <c r="D94" s="237"/>
    </row>
    <row r="95" spans="1:12" s="76" customFormat="1" ht="11.25" x14ac:dyDescent="0.25">
      <c r="D95" s="237"/>
    </row>
    <row r="96" spans="1:12" s="76" customFormat="1" ht="11.25" x14ac:dyDescent="0.25">
      <c r="D96" s="237"/>
    </row>
    <row r="97" spans="4:4" s="76" customFormat="1" ht="11.25" x14ac:dyDescent="0.25">
      <c r="D97" s="237"/>
    </row>
    <row r="98" spans="4:4" s="76" customFormat="1" ht="11.25" x14ac:dyDescent="0.25">
      <c r="D98" s="237"/>
    </row>
    <row r="99" spans="4:4" s="76" customFormat="1" ht="11.25" x14ac:dyDescent="0.25">
      <c r="D99" s="237"/>
    </row>
    <row r="100" spans="4:4" s="76" customFormat="1" ht="11.25" x14ac:dyDescent="0.25">
      <c r="D100" s="237"/>
    </row>
    <row r="101" spans="4:4" s="76" customFormat="1" ht="11.25" x14ac:dyDescent="0.25">
      <c r="D101" s="237"/>
    </row>
    <row r="102" spans="4:4" s="76" customFormat="1" ht="11.25" x14ac:dyDescent="0.25">
      <c r="D102" s="237"/>
    </row>
    <row r="103" spans="4:4" s="76" customFormat="1" ht="11.25" x14ac:dyDescent="0.25">
      <c r="D103" s="237"/>
    </row>
    <row r="104" spans="4:4" s="76" customFormat="1" ht="11.25" x14ac:dyDescent="0.25">
      <c r="D104" s="237"/>
    </row>
    <row r="105" spans="4:4" s="76" customFormat="1" ht="11.25" x14ac:dyDescent="0.25">
      <c r="D105" s="237"/>
    </row>
    <row r="106" spans="4:4" s="76" customFormat="1" ht="11.25" x14ac:dyDescent="0.25">
      <c r="D106" s="237"/>
    </row>
    <row r="107" spans="4:4" s="76" customFormat="1" ht="11.25" x14ac:dyDescent="0.25">
      <c r="D107" s="237"/>
    </row>
    <row r="108" spans="4:4" s="76" customFormat="1" ht="11.25" x14ac:dyDescent="0.25">
      <c r="D108" s="237"/>
    </row>
    <row r="109" spans="4:4" s="76" customFormat="1" ht="11.25" x14ac:dyDescent="0.25">
      <c r="D109" s="237"/>
    </row>
    <row r="110" spans="4:4" s="76" customFormat="1" ht="11.25" x14ac:dyDescent="0.25">
      <c r="D110" s="237"/>
    </row>
    <row r="111" spans="4:4" s="76" customFormat="1" ht="11.25" x14ac:dyDescent="0.25">
      <c r="D111" s="237"/>
    </row>
    <row r="112" spans="4:4" s="76" customFormat="1" ht="11.25" x14ac:dyDescent="0.25">
      <c r="D112" s="237"/>
    </row>
    <row r="113" spans="4:4" s="76" customFormat="1" ht="11.25" x14ac:dyDescent="0.25">
      <c r="D113" s="237"/>
    </row>
    <row r="114" spans="4:4" s="76" customFormat="1" ht="11.25" x14ac:dyDescent="0.25">
      <c r="D114" s="237"/>
    </row>
    <row r="115" spans="4:4" s="76" customFormat="1" ht="11.25" x14ac:dyDescent="0.25">
      <c r="D115" s="237"/>
    </row>
    <row r="116" spans="4:4" s="76" customFormat="1" ht="11.25" x14ac:dyDescent="0.25">
      <c r="D116" s="237"/>
    </row>
    <row r="117" spans="4:4" s="76" customFormat="1" ht="11.25" x14ac:dyDescent="0.25">
      <c r="D117" s="237"/>
    </row>
    <row r="118" spans="4:4" s="76" customFormat="1" ht="11.25" x14ac:dyDescent="0.25">
      <c r="D118" s="237"/>
    </row>
    <row r="119" spans="4:4" s="76" customFormat="1" ht="11.25" x14ac:dyDescent="0.25">
      <c r="D119" s="237"/>
    </row>
    <row r="120" spans="4:4" s="76" customFormat="1" ht="11.25" x14ac:dyDescent="0.25">
      <c r="D120" s="237"/>
    </row>
    <row r="121" spans="4:4" s="76" customFormat="1" ht="11.25" x14ac:dyDescent="0.25">
      <c r="D121" s="237"/>
    </row>
    <row r="122" spans="4:4" s="76" customFormat="1" ht="11.25" x14ac:dyDescent="0.25">
      <c r="D122" s="237"/>
    </row>
    <row r="123" spans="4:4" s="76" customFormat="1" ht="11.25" x14ac:dyDescent="0.25">
      <c r="D123" s="237"/>
    </row>
    <row r="124" spans="4:4" s="76" customFormat="1" ht="11.25" x14ac:dyDescent="0.25">
      <c r="D124" s="237"/>
    </row>
    <row r="125" spans="4:4" s="76" customFormat="1" ht="11.25" x14ac:dyDescent="0.25">
      <c r="D125" s="237"/>
    </row>
    <row r="126" spans="4:4" s="76" customFormat="1" ht="11.25" x14ac:dyDescent="0.25">
      <c r="D126" s="237"/>
    </row>
    <row r="127" spans="4:4" s="76" customFormat="1" ht="11.25" x14ac:dyDescent="0.25">
      <c r="D127" s="237"/>
    </row>
    <row r="128" spans="4:4" s="76" customFormat="1" ht="11.25" x14ac:dyDescent="0.25">
      <c r="D128" s="237"/>
    </row>
    <row r="129" spans="4:4" s="76" customFormat="1" ht="11.25" x14ac:dyDescent="0.25">
      <c r="D129" s="237"/>
    </row>
    <row r="130" spans="4:4" s="76" customFormat="1" ht="11.25" x14ac:dyDescent="0.25">
      <c r="D130" s="237"/>
    </row>
    <row r="131" spans="4:4" s="76" customFormat="1" ht="11.25" x14ac:dyDescent="0.25">
      <c r="D131" s="237"/>
    </row>
    <row r="132" spans="4:4" s="76" customFormat="1" ht="11.25" x14ac:dyDescent="0.25">
      <c r="D132" s="237"/>
    </row>
    <row r="133" spans="4:4" s="76" customFormat="1" ht="11.25" x14ac:dyDescent="0.25">
      <c r="D133" s="237"/>
    </row>
    <row r="134" spans="4:4" s="76" customFormat="1" ht="11.25" x14ac:dyDescent="0.25">
      <c r="D134" s="237"/>
    </row>
    <row r="135" spans="4:4" s="76" customFormat="1" ht="11.25" x14ac:dyDescent="0.25">
      <c r="D135" s="237"/>
    </row>
    <row r="136" spans="4:4" s="76" customFormat="1" ht="11.25" x14ac:dyDescent="0.25">
      <c r="D136" s="237"/>
    </row>
    <row r="137" spans="4:4" s="76" customFormat="1" ht="11.25" x14ac:dyDescent="0.25">
      <c r="D137" s="237"/>
    </row>
    <row r="138" spans="4:4" s="76" customFormat="1" ht="11.25" x14ac:dyDescent="0.25">
      <c r="D138" s="237"/>
    </row>
    <row r="139" spans="4:4" s="76" customFormat="1" ht="11.25" x14ac:dyDescent="0.25">
      <c r="D139" s="237"/>
    </row>
    <row r="140" spans="4:4" s="76" customFormat="1" ht="11.25" x14ac:dyDescent="0.25">
      <c r="D140" s="237"/>
    </row>
    <row r="141" spans="4:4" s="76" customFormat="1" ht="11.25" x14ac:dyDescent="0.25">
      <c r="D141" s="237"/>
    </row>
    <row r="142" spans="4:4" s="76" customFormat="1" ht="11.25" x14ac:dyDescent="0.25">
      <c r="D142" s="237"/>
    </row>
    <row r="143" spans="4:4" s="76" customFormat="1" ht="11.25" x14ac:dyDescent="0.25">
      <c r="D143" s="237"/>
    </row>
    <row r="144" spans="4:4" s="76" customFormat="1" ht="11.25" x14ac:dyDescent="0.25">
      <c r="D144" s="237"/>
    </row>
    <row r="145" spans="4:4" s="76" customFormat="1" ht="11.25" x14ac:dyDescent="0.25">
      <c r="D145" s="237"/>
    </row>
    <row r="146" spans="4:4" s="76" customFormat="1" ht="11.25" x14ac:dyDescent="0.25">
      <c r="D146" s="237"/>
    </row>
    <row r="147" spans="4:4" s="76" customFormat="1" ht="11.25" x14ac:dyDescent="0.25">
      <c r="D147" s="237"/>
    </row>
    <row r="148" spans="4:4" s="76" customFormat="1" ht="11.25" x14ac:dyDescent="0.25">
      <c r="D148" s="237"/>
    </row>
    <row r="149" spans="4:4" s="76" customFormat="1" ht="11.25" x14ac:dyDescent="0.25">
      <c r="D149" s="237"/>
    </row>
    <row r="150" spans="4:4" s="76" customFormat="1" ht="11.25" x14ac:dyDescent="0.25">
      <c r="D150" s="237"/>
    </row>
    <row r="151" spans="4:4" s="76" customFormat="1" ht="11.25" x14ac:dyDescent="0.25">
      <c r="D151" s="237"/>
    </row>
    <row r="152" spans="4:4" s="76" customFormat="1" ht="11.25" x14ac:dyDescent="0.25">
      <c r="D152" s="237"/>
    </row>
    <row r="153" spans="4:4" s="76" customFormat="1" ht="11.25" x14ac:dyDescent="0.25">
      <c r="D153" s="237"/>
    </row>
    <row r="154" spans="4:4" s="76" customFormat="1" ht="11.25" x14ac:dyDescent="0.25">
      <c r="D154" s="237"/>
    </row>
    <row r="155" spans="4:4" s="76" customFormat="1" ht="11.25" x14ac:dyDescent="0.25">
      <c r="D155" s="237"/>
    </row>
    <row r="156" spans="4:4" s="76" customFormat="1" ht="11.25" x14ac:dyDescent="0.25">
      <c r="D156" s="237"/>
    </row>
    <row r="157" spans="4:4" s="76" customFormat="1" ht="11.25" x14ac:dyDescent="0.25">
      <c r="D157" s="237"/>
    </row>
    <row r="158" spans="4:4" s="76" customFormat="1" ht="11.25" x14ac:dyDescent="0.25">
      <c r="D158" s="237"/>
    </row>
    <row r="159" spans="4:4" s="76" customFormat="1" ht="11.25" x14ac:dyDescent="0.25">
      <c r="D159" s="237"/>
    </row>
    <row r="160" spans="4:4" s="76" customFormat="1" ht="11.25" x14ac:dyDescent="0.25">
      <c r="D160" s="237"/>
    </row>
    <row r="161" spans="4:4" s="76" customFormat="1" ht="11.25" x14ac:dyDescent="0.25">
      <c r="D161" s="237"/>
    </row>
    <row r="162" spans="4:4" s="76" customFormat="1" ht="11.25" x14ac:dyDescent="0.25">
      <c r="D162" s="237"/>
    </row>
    <row r="163" spans="4:4" s="76" customFormat="1" ht="11.25" x14ac:dyDescent="0.25">
      <c r="D163" s="237"/>
    </row>
    <row r="164" spans="4:4" s="76" customFormat="1" ht="11.25" x14ac:dyDescent="0.25">
      <c r="D164" s="237"/>
    </row>
    <row r="165" spans="4:4" s="76" customFormat="1" ht="11.25" x14ac:dyDescent="0.25">
      <c r="D165" s="237"/>
    </row>
    <row r="166" spans="4:4" s="76" customFormat="1" ht="11.25" x14ac:dyDescent="0.25">
      <c r="D166" s="237"/>
    </row>
    <row r="167" spans="4:4" s="76" customFormat="1" ht="11.25" x14ac:dyDescent="0.25">
      <c r="D167" s="237"/>
    </row>
    <row r="168" spans="4:4" s="76" customFormat="1" ht="11.25" x14ac:dyDescent="0.25">
      <c r="D168" s="237"/>
    </row>
    <row r="169" spans="4:4" s="76" customFormat="1" ht="11.25" x14ac:dyDescent="0.25">
      <c r="D169" s="237"/>
    </row>
    <row r="170" spans="4:4" s="76" customFormat="1" ht="11.25" x14ac:dyDescent="0.25">
      <c r="D170" s="237"/>
    </row>
    <row r="171" spans="4:4" s="76" customFormat="1" ht="11.25" x14ac:dyDescent="0.25">
      <c r="D171" s="237"/>
    </row>
    <row r="172" spans="4:4" s="76" customFormat="1" ht="11.25" x14ac:dyDescent="0.25">
      <c r="D172" s="237"/>
    </row>
    <row r="173" spans="4:4" s="76" customFormat="1" ht="11.25" x14ac:dyDescent="0.25">
      <c r="D173" s="237"/>
    </row>
    <row r="174" spans="4:4" s="76" customFormat="1" ht="11.25" x14ac:dyDescent="0.25">
      <c r="D174" s="237"/>
    </row>
    <row r="175" spans="4:4" s="76" customFormat="1" ht="11.25" x14ac:dyDescent="0.25">
      <c r="D175" s="237"/>
    </row>
    <row r="176" spans="4:4" s="76" customFormat="1" ht="11.25" x14ac:dyDescent="0.25">
      <c r="D176" s="237"/>
    </row>
    <row r="177" spans="4:4" s="76" customFormat="1" ht="11.25" x14ac:dyDescent="0.25">
      <c r="D177" s="237"/>
    </row>
    <row r="178" spans="4:4" s="76" customFormat="1" ht="11.25" x14ac:dyDescent="0.25">
      <c r="D178" s="237"/>
    </row>
    <row r="179" spans="4:4" s="76" customFormat="1" ht="11.25" x14ac:dyDescent="0.25">
      <c r="D179" s="237"/>
    </row>
    <row r="180" spans="4:4" s="76" customFormat="1" ht="11.25" x14ac:dyDescent="0.25">
      <c r="D180" s="237"/>
    </row>
    <row r="181" spans="4:4" s="76" customFormat="1" ht="11.25" x14ac:dyDescent="0.25">
      <c r="D181" s="237"/>
    </row>
    <row r="182" spans="4:4" s="76" customFormat="1" ht="11.25" x14ac:dyDescent="0.25">
      <c r="D182" s="237"/>
    </row>
    <row r="183" spans="4:4" s="76" customFormat="1" ht="11.25" x14ac:dyDescent="0.25">
      <c r="D183" s="237"/>
    </row>
    <row r="184" spans="4:4" s="76" customFormat="1" ht="11.25" x14ac:dyDescent="0.25">
      <c r="D184" s="237"/>
    </row>
    <row r="185" spans="4:4" s="76" customFormat="1" ht="11.25" x14ac:dyDescent="0.25">
      <c r="D185" s="237"/>
    </row>
    <row r="186" spans="4:4" s="76" customFormat="1" ht="11.25" x14ac:dyDescent="0.25">
      <c r="D186" s="237"/>
    </row>
    <row r="187" spans="4:4" s="76" customFormat="1" ht="11.25" x14ac:dyDescent="0.25">
      <c r="D187" s="237"/>
    </row>
    <row r="188" spans="4:4" s="76" customFormat="1" ht="11.25" x14ac:dyDescent="0.25">
      <c r="D188" s="237"/>
    </row>
    <row r="189" spans="4:4" s="76" customFormat="1" ht="11.25" x14ac:dyDescent="0.25">
      <c r="D189" s="237"/>
    </row>
    <row r="190" spans="4:4" s="76" customFormat="1" ht="11.25" x14ac:dyDescent="0.25">
      <c r="D190" s="237"/>
    </row>
    <row r="191" spans="4:4" s="76" customFormat="1" ht="11.25" x14ac:dyDescent="0.25">
      <c r="D191" s="237"/>
    </row>
    <row r="192" spans="4:4" s="76" customFormat="1" ht="11.25" x14ac:dyDescent="0.25">
      <c r="D192" s="237"/>
    </row>
    <row r="193" spans="4:4" s="76" customFormat="1" ht="11.25" x14ac:dyDescent="0.25">
      <c r="D193" s="237"/>
    </row>
    <row r="194" spans="4:4" s="76" customFormat="1" ht="11.25" x14ac:dyDescent="0.25">
      <c r="D194" s="237"/>
    </row>
    <row r="195" spans="4:4" s="76" customFormat="1" ht="11.25" x14ac:dyDescent="0.25">
      <c r="D195" s="237"/>
    </row>
    <row r="196" spans="4:4" s="76" customFormat="1" ht="11.25" x14ac:dyDescent="0.25">
      <c r="D196" s="237"/>
    </row>
    <row r="197" spans="4:4" s="76" customFormat="1" ht="11.25" x14ac:dyDescent="0.25">
      <c r="D197" s="237"/>
    </row>
    <row r="198" spans="4:4" s="76" customFormat="1" ht="11.25" x14ac:dyDescent="0.25">
      <c r="D198" s="237"/>
    </row>
    <row r="199" spans="4:4" s="76" customFormat="1" ht="11.25" x14ac:dyDescent="0.25">
      <c r="D199" s="237"/>
    </row>
    <row r="200" spans="4:4" s="76" customFormat="1" ht="11.25" x14ac:dyDescent="0.25">
      <c r="D200" s="237"/>
    </row>
    <row r="201" spans="4:4" s="76" customFormat="1" ht="11.25" x14ac:dyDescent="0.25">
      <c r="D201" s="237"/>
    </row>
    <row r="202" spans="4:4" s="76" customFormat="1" ht="11.25" x14ac:dyDescent="0.25">
      <c r="D202" s="237"/>
    </row>
    <row r="203" spans="4:4" s="76" customFormat="1" ht="11.25" x14ac:dyDescent="0.25">
      <c r="D203" s="237"/>
    </row>
    <row r="204" spans="4:4" s="76" customFormat="1" ht="11.25" x14ac:dyDescent="0.25">
      <c r="D204" s="237"/>
    </row>
    <row r="205" spans="4:4" s="76" customFormat="1" ht="11.25" x14ac:dyDescent="0.25">
      <c r="D205" s="237"/>
    </row>
    <row r="206" spans="4:4" s="76" customFormat="1" ht="11.25" x14ac:dyDescent="0.25">
      <c r="D206" s="237"/>
    </row>
    <row r="207" spans="4:4" s="76" customFormat="1" ht="11.25" x14ac:dyDescent="0.25">
      <c r="D207" s="237"/>
    </row>
    <row r="208" spans="4:4" s="76" customFormat="1" ht="11.25" x14ac:dyDescent="0.25">
      <c r="D208" s="237"/>
    </row>
    <row r="209" spans="4:4" s="76" customFormat="1" ht="11.25" x14ac:dyDescent="0.25">
      <c r="D209" s="237"/>
    </row>
    <row r="210" spans="4:4" s="76" customFormat="1" ht="11.25" x14ac:dyDescent="0.25">
      <c r="D210" s="237"/>
    </row>
    <row r="211" spans="4:4" s="76" customFormat="1" ht="11.25" x14ac:dyDescent="0.25">
      <c r="D211" s="237"/>
    </row>
    <row r="212" spans="4:4" s="76" customFormat="1" ht="11.25" x14ac:dyDescent="0.25">
      <c r="D212" s="237"/>
    </row>
    <row r="213" spans="4:4" s="76" customFormat="1" ht="11.25" x14ac:dyDescent="0.25">
      <c r="D213" s="237"/>
    </row>
    <row r="214" spans="4:4" s="76" customFormat="1" ht="11.25" x14ac:dyDescent="0.25">
      <c r="D214" s="237"/>
    </row>
    <row r="215" spans="4:4" s="76" customFormat="1" ht="11.25" x14ac:dyDescent="0.25">
      <c r="D215" s="237"/>
    </row>
    <row r="216" spans="4:4" s="76" customFormat="1" ht="11.25" x14ac:dyDescent="0.25">
      <c r="D216" s="237"/>
    </row>
    <row r="217" spans="4:4" s="76" customFormat="1" ht="11.25" x14ac:dyDescent="0.25">
      <c r="D217" s="237"/>
    </row>
    <row r="218" spans="4:4" s="76" customFormat="1" ht="11.25" x14ac:dyDescent="0.25">
      <c r="D218" s="237"/>
    </row>
    <row r="219" spans="4:4" s="76" customFormat="1" ht="11.25" x14ac:dyDescent="0.25">
      <c r="D219" s="237"/>
    </row>
    <row r="220" spans="4:4" s="76" customFormat="1" ht="11.25" x14ac:dyDescent="0.25">
      <c r="D220" s="237"/>
    </row>
    <row r="221" spans="4:4" s="76" customFormat="1" ht="11.25" x14ac:dyDescent="0.25">
      <c r="D221" s="237"/>
    </row>
    <row r="222" spans="4:4" s="76" customFormat="1" ht="11.25" x14ac:dyDescent="0.25">
      <c r="D222" s="237"/>
    </row>
    <row r="223" spans="4:4" s="76" customFormat="1" ht="11.25" x14ac:dyDescent="0.25">
      <c r="D223" s="237"/>
    </row>
    <row r="224" spans="4:4" s="76" customFormat="1" ht="11.25" x14ac:dyDescent="0.25">
      <c r="D224" s="237"/>
    </row>
    <row r="225" spans="4:4" s="76" customFormat="1" ht="11.25" x14ac:dyDescent="0.25">
      <c r="D225" s="237"/>
    </row>
    <row r="226" spans="4:4" s="76" customFormat="1" ht="11.25" x14ac:dyDescent="0.25">
      <c r="D226" s="237"/>
    </row>
    <row r="227" spans="4:4" s="76" customFormat="1" ht="11.25" x14ac:dyDescent="0.25">
      <c r="D227" s="237"/>
    </row>
    <row r="228" spans="4:4" s="76" customFormat="1" ht="11.25" x14ac:dyDescent="0.25">
      <c r="D228" s="237"/>
    </row>
    <row r="229" spans="4:4" s="76" customFormat="1" ht="11.25" x14ac:dyDescent="0.25">
      <c r="D229" s="237"/>
    </row>
    <row r="230" spans="4:4" s="76" customFormat="1" ht="11.25" x14ac:dyDescent="0.25">
      <c r="D230" s="237"/>
    </row>
    <row r="231" spans="4:4" s="76" customFormat="1" ht="11.25" x14ac:dyDescent="0.25">
      <c r="D231" s="237"/>
    </row>
    <row r="232" spans="4:4" s="76" customFormat="1" ht="11.25" x14ac:dyDescent="0.25">
      <c r="D232" s="237"/>
    </row>
    <row r="233" spans="4:4" s="76" customFormat="1" ht="11.25" x14ac:dyDescent="0.25">
      <c r="D233" s="237"/>
    </row>
    <row r="234" spans="4:4" s="76" customFormat="1" ht="11.25" x14ac:dyDescent="0.25">
      <c r="D234" s="237"/>
    </row>
    <row r="235" spans="4:4" s="76" customFormat="1" ht="11.25" x14ac:dyDescent="0.25">
      <c r="D235" s="237"/>
    </row>
    <row r="236" spans="4:4" s="76" customFormat="1" ht="11.25" x14ac:dyDescent="0.25">
      <c r="D236" s="237"/>
    </row>
    <row r="237" spans="4:4" s="76" customFormat="1" ht="11.25" x14ac:dyDescent="0.25">
      <c r="D237" s="237"/>
    </row>
    <row r="238" spans="4:4" s="76" customFormat="1" ht="11.25" x14ac:dyDescent="0.25">
      <c r="D238" s="237"/>
    </row>
    <row r="239" spans="4:4" s="76" customFormat="1" ht="11.25" x14ac:dyDescent="0.25">
      <c r="D239" s="237"/>
    </row>
    <row r="240" spans="4:4" s="76" customFormat="1" ht="11.25" x14ac:dyDescent="0.25">
      <c r="D240" s="237"/>
    </row>
    <row r="241" spans="4:4" s="76" customFormat="1" ht="11.25" x14ac:dyDescent="0.25">
      <c r="D241" s="237"/>
    </row>
    <row r="242" spans="4:4" s="76" customFormat="1" ht="11.25" x14ac:dyDescent="0.25">
      <c r="D242" s="237"/>
    </row>
    <row r="243" spans="4:4" s="76" customFormat="1" ht="11.25" x14ac:dyDescent="0.25">
      <c r="D243" s="237"/>
    </row>
    <row r="244" spans="4:4" s="76" customFormat="1" ht="11.25" x14ac:dyDescent="0.25">
      <c r="D244" s="237"/>
    </row>
    <row r="245" spans="4:4" s="76" customFormat="1" ht="11.25" x14ac:dyDescent="0.25">
      <c r="D245" s="237"/>
    </row>
    <row r="246" spans="4:4" s="76" customFormat="1" ht="11.25" x14ac:dyDescent="0.25">
      <c r="D246" s="237"/>
    </row>
    <row r="247" spans="4:4" s="76" customFormat="1" ht="11.25" x14ac:dyDescent="0.25">
      <c r="D247" s="237"/>
    </row>
    <row r="248" spans="4:4" s="76" customFormat="1" ht="11.25" x14ac:dyDescent="0.25">
      <c r="D248" s="237"/>
    </row>
    <row r="249" spans="4:4" s="76" customFormat="1" ht="11.25" x14ac:dyDescent="0.25">
      <c r="D249" s="237"/>
    </row>
    <row r="250" spans="4:4" s="76" customFormat="1" ht="11.25" x14ac:dyDescent="0.25">
      <c r="D250" s="237"/>
    </row>
    <row r="251" spans="4:4" s="76" customFormat="1" ht="11.25" x14ac:dyDescent="0.25">
      <c r="D251" s="237"/>
    </row>
    <row r="252" spans="4:4" s="76" customFormat="1" ht="11.25" x14ac:dyDescent="0.25">
      <c r="D252" s="237"/>
    </row>
    <row r="253" spans="4:4" s="76" customFormat="1" ht="11.25" x14ac:dyDescent="0.25">
      <c r="D253" s="237"/>
    </row>
    <row r="254" spans="4:4" s="76" customFormat="1" ht="11.25" x14ac:dyDescent="0.25">
      <c r="D254" s="237"/>
    </row>
    <row r="255" spans="4:4" s="76" customFormat="1" ht="11.25" x14ac:dyDescent="0.25">
      <c r="D255" s="237"/>
    </row>
    <row r="256" spans="4:4" s="76" customFormat="1" ht="11.25" x14ac:dyDescent="0.25">
      <c r="D256" s="237"/>
    </row>
    <row r="257" spans="4:4" s="76" customFormat="1" ht="11.25" x14ac:dyDescent="0.25">
      <c r="D257" s="237"/>
    </row>
    <row r="258" spans="4:4" s="76" customFormat="1" ht="11.25" x14ac:dyDescent="0.25">
      <c r="D258" s="237"/>
    </row>
    <row r="259" spans="4:4" s="76" customFormat="1" ht="11.25" x14ac:dyDescent="0.25">
      <c r="D259" s="237"/>
    </row>
    <row r="260" spans="4:4" s="76" customFormat="1" ht="11.25" x14ac:dyDescent="0.25">
      <c r="D260" s="237"/>
    </row>
    <row r="261" spans="4:4" s="76" customFormat="1" ht="11.25" x14ac:dyDescent="0.25">
      <c r="D261" s="237"/>
    </row>
    <row r="262" spans="4:4" s="76" customFormat="1" ht="11.25" x14ac:dyDescent="0.25">
      <c r="D262" s="237"/>
    </row>
    <row r="263" spans="4:4" s="76" customFormat="1" ht="11.25" x14ac:dyDescent="0.25">
      <c r="D263" s="237"/>
    </row>
    <row r="264" spans="4:4" s="76" customFormat="1" ht="11.25" x14ac:dyDescent="0.25">
      <c r="D264" s="237"/>
    </row>
    <row r="265" spans="4:4" s="76" customFormat="1" ht="11.25" x14ac:dyDescent="0.25">
      <c r="D265" s="237"/>
    </row>
    <row r="266" spans="4:4" s="76" customFormat="1" ht="11.25" x14ac:dyDescent="0.25">
      <c r="D266" s="237"/>
    </row>
    <row r="267" spans="4:4" s="76" customFormat="1" ht="11.25" x14ac:dyDescent="0.25">
      <c r="D267" s="237"/>
    </row>
    <row r="268" spans="4:4" s="76" customFormat="1" ht="11.25" x14ac:dyDescent="0.25">
      <c r="D268" s="237"/>
    </row>
    <row r="269" spans="4:4" s="76" customFormat="1" ht="11.25" x14ac:dyDescent="0.25">
      <c r="D269" s="237"/>
    </row>
    <row r="270" spans="4:4" s="76" customFormat="1" ht="11.25" x14ac:dyDescent="0.25">
      <c r="D270" s="237"/>
    </row>
    <row r="271" spans="4:4" s="76" customFormat="1" ht="11.25" x14ac:dyDescent="0.25">
      <c r="D271" s="237"/>
    </row>
    <row r="272" spans="4:4" s="76" customFormat="1" ht="11.25" x14ac:dyDescent="0.25">
      <c r="D272" s="237"/>
    </row>
    <row r="273" spans="4:4" s="76" customFormat="1" ht="11.25" x14ac:dyDescent="0.25">
      <c r="D273" s="237"/>
    </row>
    <row r="274" spans="4:4" s="76" customFormat="1" ht="11.25" x14ac:dyDescent="0.25">
      <c r="D274" s="237"/>
    </row>
    <row r="275" spans="4:4" s="76" customFormat="1" ht="11.25" x14ac:dyDescent="0.25">
      <c r="D275" s="237"/>
    </row>
    <row r="276" spans="4:4" s="76" customFormat="1" ht="11.25" x14ac:dyDescent="0.25">
      <c r="D276" s="237"/>
    </row>
    <row r="277" spans="4:4" s="76" customFormat="1" ht="11.25" x14ac:dyDescent="0.25">
      <c r="D277" s="237"/>
    </row>
    <row r="278" spans="4:4" s="76" customFormat="1" ht="11.25" x14ac:dyDescent="0.25">
      <c r="D278" s="237"/>
    </row>
    <row r="279" spans="4:4" s="76" customFormat="1" ht="11.25" x14ac:dyDescent="0.25">
      <c r="D279" s="237"/>
    </row>
    <row r="280" spans="4:4" s="76" customFormat="1" ht="11.25" x14ac:dyDescent="0.25">
      <c r="D280" s="237"/>
    </row>
    <row r="281" spans="4:4" s="76" customFormat="1" ht="11.25" x14ac:dyDescent="0.25">
      <c r="D281" s="237"/>
    </row>
    <row r="282" spans="4:4" s="76" customFormat="1" ht="11.25" x14ac:dyDescent="0.25">
      <c r="D282" s="237"/>
    </row>
    <row r="283" spans="4:4" s="76" customFormat="1" ht="11.25" x14ac:dyDescent="0.25">
      <c r="D283" s="237"/>
    </row>
    <row r="284" spans="4:4" s="76" customFormat="1" ht="11.25" x14ac:dyDescent="0.25">
      <c r="D284" s="237"/>
    </row>
    <row r="285" spans="4:4" s="76" customFormat="1" ht="11.25" x14ac:dyDescent="0.25">
      <c r="D285" s="237"/>
    </row>
    <row r="286" spans="4:4" s="76" customFormat="1" ht="11.25" x14ac:dyDescent="0.25">
      <c r="D286" s="237"/>
    </row>
    <row r="287" spans="4:4" s="76" customFormat="1" ht="11.25" x14ac:dyDescent="0.25">
      <c r="D287" s="237"/>
    </row>
    <row r="288" spans="4:4" s="76" customFormat="1" ht="11.25" x14ac:dyDescent="0.25">
      <c r="D288" s="237"/>
    </row>
    <row r="289" spans="4:4" s="76" customFormat="1" ht="11.25" x14ac:dyDescent="0.25">
      <c r="D289" s="237"/>
    </row>
    <row r="290" spans="4:4" s="76" customFormat="1" ht="11.25" x14ac:dyDescent="0.25">
      <c r="D290" s="237"/>
    </row>
    <row r="291" spans="4:4" s="76" customFormat="1" ht="11.25" x14ac:dyDescent="0.25">
      <c r="D291" s="237"/>
    </row>
    <row r="292" spans="4:4" s="76" customFormat="1" ht="11.25" x14ac:dyDescent="0.25">
      <c r="D292" s="237"/>
    </row>
    <row r="293" spans="4:4" s="76" customFormat="1" ht="11.25" x14ac:dyDescent="0.25">
      <c r="D293" s="237"/>
    </row>
    <row r="294" spans="4:4" s="76" customFormat="1" ht="11.25" x14ac:dyDescent="0.25">
      <c r="D294" s="237"/>
    </row>
    <row r="295" spans="4:4" s="76" customFormat="1" ht="11.25" x14ac:dyDescent="0.25">
      <c r="D295" s="237"/>
    </row>
    <row r="296" spans="4:4" s="76" customFormat="1" ht="11.25" x14ac:dyDescent="0.25">
      <c r="D296" s="237"/>
    </row>
    <row r="297" spans="4:4" s="76" customFormat="1" ht="11.25" x14ac:dyDescent="0.25">
      <c r="D297" s="237"/>
    </row>
    <row r="298" spans="4:4" s="76" customFormat="1" ht="11.25" x14ac:dyDescent="0.25">
      <c r="D298" s="237"/>
    </row>
    <row r="299" spans="4:4" s="76" customFormat="1" ht="11.25" x14ac:dyDescent="0.25">
      <c r="D299" s="237"/>
    </row>
    <row r="300" spans="4:4" s="76" customFormat="1" ht="11.25" x14ac:dyDescent="0.25">
      <c r="D300" s="237"/>
    </row>
    <row r="301" spans="4:4" s="76" customFormat="1" ht="11.25" x14ac:dyDescent="0.25">
      <c r="D301" s="237"/>
    </row>
    <row r="302" spans="4:4" s="76" customFormat="1" ht="11.25" x14ac:dyDescent="0.25">
      <c r="D302" s="237"/>
    </row>
    <row r="303" spans="4:4" s="76" customFormat="1" ht="11.25" x14ac:dyDescent="0.25">
      <c r="D303" s="237"/>
    </row>
    <row r="304" spans="4:4" s="76" customFormat="1" ht="11.25" x14ac:dyDescent="0.25">
      <c r="D304" s="237"/>
    </row>
    <row r="305" spans="4:4" s="76" customFormat="1" ht="11.25" x14ac:dyDescent="0.25">
      <c r="D305" s="237"/>
    </row>
    <row r="306" spans="4:4" s="76" customFormat="1" ht="11.25" x14ac:dyDescent="0.25">
      <c r="D306" s="237"/>
    </row>
    <row r="307" spans="4:4" s="76" customFormat="1" ht="11.25" x14ac:dyDescent="0.25">
      <c r="D307" s="237"/>
    </row>
    <row r="308" spans="4:4" s="76" customFormat="1" ht="11.25" x14ac:dyDescent="0.25">
      <c r="D308" s="237"/>
    </row>
    <row r="309" spans="4:4" s="76" customFormat="1" ht="11.25" x14ac:dyDescent="0.25">
      <c r="D309" s="237"/>
    </row>
    <row r="310" spans="4:4" s="76" customFormat="1" ht="11.25" x14ac:dyDescent="0.25">
      <c r="D310" s="237"/>
    </row>
    <row r="311" spans="4:4" s="76" customFormat="1" ht="11.25" x14ac:dyDescent="0.25">
      <c r="D311" s="237"/>
    </row>
    <row r="312" spans="4:4" s="76" customFormat="1" ht="11.25" x14ac:dyDescent="0.25">
      <c r="D312" s="237"/>
    </row>
    <row r="313" spans="4:4" s="76" customFormat="1" ht="11.25" x14ac:dyDescent="0.25">
      <c r="D313" s="237"/>
    </row>
    <row r="314" spans="4:4" s="76" customFormat="1" ht="11.25" x14ac:dyDescent="0.25">
      <c r="D314" s="237"/>
    </row>
    <row r="315" spans="4:4" s="76" customFormat="1" ht="11.25" x14ac:dyDescent="0.25">
      <c r="D315" s="237"/>
    </row>
    <row r="316" spans="4:4" s="76" customFormat="1" ht="11.25" x14ac:dyDescent="0.25">
      <c r="D316" s="237"/>
    </row>
    <row r="317" spans="4:4" s="76" customFormat="1" ht="11.25" x14ac:dyDescent="0.25">
      <c r="D317" s="237"/>
    </row>
    <row r="318" spans="4:4" s="76" customFormat="1" ht="11.25" x14ac:dyDescent="0.25">
      <c r="D318" s="237"/>
    </row>
    <row r="319" spans="4:4" s="76" customFormat="1" ht="11.25" x14ac:dyDescent="0.25">
      <c r="D319" s="237"/>
    </row>
    <row r="320" spans="4:4" s="76" customFormat="1" ht="11.25" x14ac:dyDescent="0.25">
      <c r="D320" s="237"/>
    </row>
    <row r="321" spans="4:4" s="76" customFormat="1" ht="11.25" x14ac:dyDescent="0.25">
      <c r="D321" s="237"/>
    </row>
    <row r="322" spans="4:4" s="76" customFormat="1" ht="11.25" x14ac:dyDescent="0.25">
      <c r="D322" s="237"/>
    </row>
    <row r="323" spans="4:4" s="76" customFormat="1" ht="11.25" x14ac:dyDescent="0.25">
      <c r="D323" s="237"/>
    </row>
    <row r="324" spans="4:4" s="76" customFormat="1" ht="11.25" x14ac:dyDescent="0.25">
      <c r="D324" s="237"/>
    </row>
    <row r="325" spans="4:4" s="76" customFormat="1" ht="11.25" x14ac:dyDescent="0.25">
      <c r="D325" s="237"/>
    </row>
    <row r="326" spans="4:4" s="76" customFormat="1" ht="11.25" x14ac:dyDescent="0.25">
      <c r="D326" s="237"/>
    </row>
    <row r="327" spans="4:4" s="76" customFormat="1" ht="11.25" x14ac:dyDescent="0.25">
      <c r="D327" s="237"/>
    </row>
    <row r="328" spans="4:4" s="76" customFormat="1" ht="11.25" x14ac:dyDescent="0.25">
      <c r="D328" s="237"/>
    </row>
    <row r="329" spans="4:4" s="76" customFormat="1" ht="11.25" x14ac:dyDescent="0.25">
      <c r="D329" s="237"/>
    </row>
    <row r="330" spans="4:4" s="76" customFormat="1" ht="11.25" x14ac:dyDescent="0.25">
      <c r="D330" s="237"/>
    </row>
    <row r="331" spans="4:4" s="76" customFormat="1" ht="11.25" x14ac:dyDescent="0.25">
      <c r="D331" s="237"/>
    </row>
    <row r="332" spans="4:4" s="76" customFormat="1" ht="11.25" x14ac:dyDescent="0.25">
      <c r="D332" s="237"/>
    </row>
    <row r="333" spans="4:4" s="76" customFormat="1" ht="11.25" x14ac:dyDescent="0.25">
      <c r="D333" s="237"/>
    </row>
    <row r="334" spans="4:4" s="76" customFormat="1" ht="11.25" x14ac:dyDescent="0.25">
      <c r="D334" s="237"/>
    </row>
    <row r="335" spans="4:4" s="76" customFormat="1" ht="11.25" x14ac:dyDescent="0.25">
      <c r="D335" s="237"/>
    </row>
    <row r="336" spans="4:4" s="76" customFormat="1" ht="11.25" x14ac:dyDescent="0.25">
      <c r="D336" s="237"/>
    </row>
    <row r="337" spans="4:4" s="76" customFormat="1" ht="11.25" x14ac:dyDescent="0.25">
      <c r="D337" s="237"/>
    </row>
    <row r="338" spans="4:4" s="76" customFormat="1" ht="11.25" x14ac:dyDescent="0.25">
      <c r="D338" s="237"/>
    </row>
    <row r="339" spans="4:4" s="76" customFormat="1" ht="11.25" x14ac:dyDescent="0.25">
      <c r="D339" s="237"/>
    </row>
    <row r="340" spans="4:4" s="76" customFormat="1" ht="11.25" x14ac:dyDescent="0.25">
      <c r="D340" s="237"/>
    </row>
    <row r="341" spans="4:4" s="76" customFormat="1" ht="11.25" x14ac:dyDescent="0.25">
      <c r="D341" s="237"/>
    </row>
    <row r="342" spans="4:4" s="76" customFormat="1" ht="11.25" x14ac:dyDescent="0.25">
      <c r="D342" s="237"/>
    </row>
    <row r="343" spans="4:4" s="76" customFormat="1" ht="11.25" x14ac:dyDescent="0.25">
      <c r="D343" s="237"/>
    </row>
    <row r="344" spans="4:4" s="76" customFormat="1" ht="11.25" x14ac:dyDescent="0.25">
      <c r="D344" s="237"/>
    </row>
    <row r="345" spans="4:4" s="76" customFormat="1" ht="11.25" x14ac:dyDescent="0.25">
      <c r="D345" s="237"/>
    </row>
    <row r="346" spans="4:4" s="76" customFormat="1" ht="11.25" x14ac:dyDescent="0.25">
      <c r="D346" s="237"/>
    </row>
    <row r="347" spans="4:4" s="76" customFormat="1" ht="11.25" x14ac:dyDescent="0.25">
      <c r="D347" s="237"/>
    </row>
    <row r="348" spans="4:4" s="76" customFormat="1" ht="11.25" x14ac:dyDescent="0.25">
      <c r="D348" s="237"/>
    </row>
    <row r="349" spans="4:4" s="76" customFormat="1" ht="11.25" x14ac:dyDescent="0.25">
      <c r="D349" s="237"/>
    </row>
    <row r="350" spans="4:4" s="76" customFormat="1" ht="11.25" x14ac:dyDescent="0.25">
      <c r="D350" s="237"/>
    </row>
    <row r="351" spans="4:4" s="76" customFormat="1" ht="11.25" x14ac:dyDescent="0.25">
      <c r="D351" s="237"/>
    </row>
    <row r="352" spans="4:4" s="76" customFormat="1" ht="11.25" x14ac:dyDescent="0.25">
      <c r="D352" s="237"/>
    </row>
    <row r="353" spans="4:4" s="76" customFormat="1" ht="11.25" x14ac:dyDescent="0.25">
      <c r="D353" s="237"/>
    </row>
    <row r="354" spans="4:4" s="76" customFormat="1" ht="11.25" x14ac:dyDescent="0.25">
      <c r="D354" s="237"/>
    </row>
    <row r="355" spans="4:4" s="76" customFormat="1" ht="11.25" x14ac:dyDescent="0.25">
      <c r="D355" s="237"/>
    </row>
    <row r="356" spans="4:4" s="76" customFormat="1" ht="11.25" x14ac:dyDescent="0.25">
      <c r="D356" s="237"/>
    </row>
    <row r="357" spans="4:4" s="76" customFormat="1" ht="11.25" x14ac:dyDescent="0.25">
      <c r="D357" s="237"/>
    </row>
    <row r="358" spans="4:4" s="76" customFormat="1" ht="11.25" x14ac:dyDescent="0.25">
      <c r="D358" s="237"/>
    </row>
    <row r="359" spans="4:4" s="76" customFormat="1" ht="11.25" x14ac:dyDescent="0.25">
      <c r="D359" s="237"/>
    </row>
    <row r="360" spans="4:4" s="76" customFormat="1" ht="11.25" x14ac:dyDescent="0.25">
      <c r="D360" s="237"/>
    </row>
    <row r="361" spans="4:4" s="76" customFormat="1" ht="11.25" x14ac:dyDescent="0.25">
      <c r="D361" s="237"/>
    </row>
    <row r="362" spans="4:4" s="76" customFormat="1" ht="11.25" x14ac:dyDescent="0.25">
      <c r="D362" s="237"/>
    </row>
    <row r="363" spans="4:4" s="76" customFormat="1" ht="11.25" x14ac:dyDescent="0.25">
      <c r="D363" s="237"/>
    </row>
    <row r="364" spans="4:4" s="76" customFormat="1" ht="11.25" x14ac:dyDescent="0.25">
      <c r="D364" s="237"/>
    </row>
    <row r="365" spans="4:4" s="76" customFormat="1" ht="11.25" x14ac:dyDescent="0.25">
      <c r="D365" s="237"/>
    </row>
    <row r="366" spans="4:4" s="76" customFormat="1" ht="11.25" x14ac:dyDescent="0.25">
      <c r="D366" s="237"/>
    </row>
    <row r="367" spans="4:4" s="76" customFormat="1" ht="11.25" x14ac:dyDescent="0.25">
      <c r="D367" s="237"/>
    </row>
    <row r="368" spans="4:4" s="76" customFormat="1" ht="11.25" x14ac:dyDescent="0.25">
      <c r="D368" s="237"/>
    </row>
    <row r="369" spans="4:4" s="76" customFormat="1" ht="11.25" x14ac:dyDescent="0.25">
      <c r="D369" s="237"/>
    </row>
    <row r="370" spans="4:4" s="76" customFormat="1" ht="11.25" x14ac:dyDescent="0.25">
      <c r="D370" s="237"/>
    </row>
    <row r="371" spans="4:4" s="76" customFormat="1" ht="11.25" x14ac:dyDescent="0.25">
      <c r="D371" s="237"/>
    </row>
    <row r="372" spans="4:4" s="76" customFormat="1" ht="11.25" x14ac:dyDescent="0.25">
      <c r="D372" s="237"/>
    </row>
    <row r="373" spans="4:4" s="76" customFormat="1" ht="11.25" x14ac:dyDescent="0.25">
      <c r="D373" s="237"/>
    </row>
    <row r="374" spans="4:4" s="76" customFormat="1" ht="11.25" x14ac:dyDescent="0.25">
      <c r="D374" s="237"/>
    </row>
    <row r="375" spans="4:4" s="76" customFormat="1" ht="11.25" x14ac:dyDescent="0.25">
      <c r="D375" s="237"/>
    </row>
    <row r="376" spans="4:4" s="76" customFormat="1" ht="11.25" x14ac:dyDescent="0.25">
      <c r="D376" s="237"/>
    </row>
    <row r="377" spans="4:4" s="76" customFormat="1" ht="11.25" x14ac:dyDescent="0.25">
      <c r="D377" s="237"/>
    </row>
    <row r="378" spans="4:4" s="76" customFormat="1" ht="11.25" x14ac:dyDescent="0.25">
      <c r="D378" s="237"/>
    </row>
    <row r="379" spans="4:4" s="76" customFormat="1" ht="11.25" x14ac:dyDescent="0.25">
      <c r="D379" s="237"/>
    </row>
    <row r="380" spans="4:4" s="76" customFormat="1" ht="11.25" x14ac:dyDescent="0.25">
      <c r="D380" s="237"/>
    </row>
    <row r="381" spans="4:4" s="76" customFormat="1" ht="11.25" x14ac:dyDescent="0.25">
      <c r="D381" s="237"/>
    </row>
    <row r="382" spans="4:4" s="76" customFormat="1" ht="11.25" x14ac:dyDescent="0.25">
      <c r="D382" s="237"/>
    </row>
    <row r="383" spans="4:4" s="76" customFormat="1" ht="11.25" x14ac:dyDescent="0.25">
      <c r="D383" s="237"/>
    </row>
    <row r="384" spans="4:4" s="76" customFormat="1" ht="11.25" x14ac:dyDescent="0.25">
      <c r="D384" s="237"/>
    </row>
    <row r="385" spans="4:4" s="76" customFormat="1" ht="11.25" x14ac:dyDescent="0.25">
      <c r="D385" s="237"/>
    </row>
    <row r="386" spans="4:4" s="76" customFormat="1" ht="11.25" x14ac:dyDescent="0.25">
      <c r="D386" s="237"/>
    </row>
    <row r="387" spans="4:4" s="76" customFormat="1" ht="11.25" x14ac:dyDescent="0.25">
      <c r="D387" s="237"/>
    </row>
    <row r="388" spans="4:4" s="76" customFormat="1" ht="11.25" x14ac:dyDescent="0.25">
      <c r="D388" s="237"/>
    </row>
    <row r="389" spans="4:4" s="76" customFormat="1" ht="11.25" x14ac:dyDescent="0.25">
      <c r="D389" s="237"/>
    </row>
    <row r="390" spans="4:4" s="76" customFormat="1" ht="11.25" x14ac:dyDescent="0.25">
      <c r="D390" s="237"/>
    </row>
    <row r="391" spans="4:4" s="76" customFormat="1" ht="11.25" x14ac:dyDescent="0.25">
      <c r="D391" s="237"/>
    </row>
    <row r="392" spans="4:4" s="76" customFormat="1" ht="11.25" x14ac:dyDescent="0.25">
      <c r="D392" s="237"/>
    </row>
    <row r="393" spans="4:4" s="76" customFormat="1" ht="11.25" x14ac:dyDescent="0.25">
      <c r="D393" s="237"/>
    </row>
    <row r="394" spans="4:4" s="76" customFormat="1" ht="11.25" x14ac:dyDescent="0.25">
      <c r="D394" s="237"/>
    </row>
    <row r="395" spans="4:4" s="76" customFormat="1" ht="11.25" x14ac:dyDescent="0.25">
      <c r="D395" s="237"/>
    </row>
    <row r="396" spans="4:4" s="76" customFormat="1" ht="11.25" x14ac:dyDescent="0.25">
      <c r="D396" s="237"/>
    </row>
    <row r="397" spans="4:4" s="76" customFormat="1" ht="11.25" x14ac:dyDescent="0.25">
      <c r="D397" s="237"/>
    </row>
    <row r="398" spans="4:4" s="76" customFormat="1" ht="11.25" x14ac:dyDescent="0.25">
      <c r="D398" s="237"/>
    </row>
    <row r="399" spans="4:4" s="76" customFormat="1" ht="11.25" x14ac:dyDescent="0.25">
      <c r="D399" s="237"/>
    </row>
    <row r="400" spans="4:4" s="76" customFormat="1" ht="11.25" x14ac:dyDescent="0.25">
      <c r="D400" s="237"/>
    </row>
    <row r="401" spans="4:4" s="76" customFormat="1" ht="11.25" x14ac:dyDescent="0.25">
      <c r="D401" s="237"/>
    </row>
    <row r="402" spans="4:4" s="76" customFormat="1" ht="11.25" x14ac:dyDescent="0.25">
      <c r="D402" s="237"/>
    </row>
    <row r="403" spans="4:4" s="76" customFormat="1" ht="11.25" x14ac:dyDescent="0.25">
      <c r="D403" s="237"/>
    </row>
    <row r="404" spans="4:4" s="76" customFormat="1" ht="11.25" x14ac:dyDescent="0.25">
      <c r="D404" s="237"/>
    </row>
    <row r="405" spans="4:4" s="76" customFormat="1" ht="11.25" x14ac:dyDescent="0.25">
      <c r="D405" s="237"/>
    </row>
    <row r="406" spans="4:4" s="76" customFormat="1" ht="11.25" x14ac:dyDescent="0.25">
      <c r="D406" s="237"/>
    </row>
    <row r="407" spans="4:4" s="76" customFormat="1" ht="11.25" x14ac:dyDescent="0.25">
      <c r="D407" s="237"/>
    </row>
    <row r="408" spans="4:4" s="76" customFormat="1" ht="11.25" x14ac:dyDescent="0.25">
      <c r="D408" s="237"/>
    </row>
    <row r="409" spans="4:4" s="76" customFormat="1" ht="11.25" x14ac:dyDescent="0.25">
      <c r="D409" s="237"/>
    </row>
    <row r="410" spans="4:4" s="76" customFormat="1" ht="11.25" x14ac:dyDescent="0.25">
      <c r="D410" s="237"/>
    </row>
    <row r="411" spans="4:4" s="76" customFormat="1" ht="11.25" x14ac:dyDescent="0.25">
      <c r="D411" s="237"/>
    </row>
    <row r="412" spans="4:4" s="76" customFormat="1" ht="11.25" x14ac:dyDescent="0.25">
      <c r="D412" s="237"/>
    </row>
    <row r="413" spans="4:4" s="76" customFormat="1" ht="11.25" x14ac:dyDescent="0.25">
      <c r="D413" s="237"/>
    </row>
    <row r="414" spans="4:4" s="76" customFormat="1" ht="11.25" x14ac:dyDescent="0.25">
      <c r="D414" s="237"/>
    </row>
    <row r="415" spans="4:4" s="76" customFormat="1" ht="11.25" x14ac:dyDescent="0.25">
      <c r="D415" s="237"/>
    </row>
    <row r="416" spans="4:4" s="76" customFormat="1" ht="11.25" x14ac:dyDescent="0.25">
      <c r="D416" s="237"/>
    </row>
    <row r="417" spans="4:4" s="76" customFormat="1" ht="11.25" x14ac:dyDescent="0.25">
      <c r="D417" s="237"/>
    </row>
    <row r="418" spans="4:4" s="76" customFormat="1" ht="11.25" x14ac:dyDescent="0.25">
      <c r="D418" s="237"/>
    </row>
    <row r="419" spans="4:4" s="76" customFormat="1" ht="11.25" x14ac:dyDescent="0.25">
      <c r="D419" s="237"/>
    </row>
    <row r="420" spans="4:4" s="76" customFormat="1" ht="11.25" x14ac:dyDescent="0.25">
      <c r="D420" s="237"/>
    </row>
    <row r="421" spans="4:4" s="76" customFormat="1" ht="11.25" x14ac:dyDescent="0.25">
      <c r="D421" s="237"/>
    </row>
    <row r="422" spans="4:4" s="76" customFormat="1" ht="11.25" x14ac:dyDescent="0.25">
      <c r="D422" s="237"/>
    </row>
    <row r="423" spans="4:4" s="76" customFormat="1" ht="11.25" x14ac:dyDescent="0.25">
      <c r="D423" s="237"/>
    </row>
    <row r="424" spans="4:4" s="76" customFormat="1" ht="11.25" x14ac:dyDescent="0.25">
      <c r="D424" s="237"/>
    </row>
    <row r="425" spans="4:4" s="76" customFormat="1" ht="11.25" x14ac:dyDescent="0.25">
      <c r="D425" s="237"/>
    </row>
    <row r="426" spans="4:4" s="76" customFormat="1" ht="11.25" x14ac:dyDescent="0.25">
      <c r="D426" s="237"/>
    </row>
    <row r="427" spans="4:4" s="76" customFormat="1" ht="11.25" x14ac:dyDescent="0.25">
      <c r="D427" s="237"/>
    </row>
    <row r="428" spans="4:4" s="76" customFormat="1" ht="11.25" x14ac:dyDescent="0.25">
      <c r="D428" s="237"/>
    </row>
    <row r="429" spans="4:4" s="76" customFormat="1" ht="11.25" x14ac:dyDescent="0.25">
      <c r="D429" s="237"/>
    </row>
    <row r="430" spans="4:4" s="76" customFormat="1" ht="11.25" x14ac:dyDescent="0.25">
      <c r="D430" s="237"/>
    </row>
    <row r="431" spans="4:4" s="76" customFormat="1" ht="11.25" x14ac:dyDescent="0.25">
      <c r="D431" s="237"/>
    </row>
    <row r="432" spans="4:4" s="76" customFormat="1" ht="11.25" x14ac:dyDescent="0.25">
      <c r="D432" s="237"/>
    </row>
    <row r="433" spans="4:4" s="76" customFormat="1" ht="11.25" x14ac:dyDescent="0.25">
      <c r="D433" s="237"/>
    </row>
    <row r="434" spans="4:4" s="76" customFormat="1" ht="11.25" x14ac:dyDescent="0.25">
      <c r="D434" s="237"/>
    </row>
    <row r="435" spans="4:4" s="76" customFormat="1" ht="11.25" x14ac:dyDescent="0.25">
      <c r="D435" s="237"/>
    </row>
    <row r="436" spans="4:4" s="76" customFormat="1" ht="11.25" x14ac:dyDescent="0.25">
      <c r="D436" s="237"/>
    </row>
    <row r="437" spans="4:4" s="76" customFormat="1" ht="11.25" x14ac:dyDescent="0.25">
      <c r="D437" s="237"/>
    </row>
    <row r="438" spans="4:4" s="76" customFormat="1" ht="11.25" x14ac:dyDescent="0.25">
      <c r="D438" s="237"/>
    </row>
    <row r="439" spans="4:4" s="76" customFormat="1" ht="11.25" x14ac:dyDescent="0.25">
      <c r="D439" s="237"/>
    </row>
    <row r="440" spans="4:4" s="76" customFormat="1" ht="11.25" x14ac:dyDescent="0.25">
      <c r="D440" s="237"/>
    </row>
    <row r="441" spans="4:4" s="76" customFormat="1" ht="11.25" x14ac:dyDescent="0.25">
      <c r="D441" s="237"/>
    </row>
    <row r="442" spans="4:4" s="76" customFormat="1" ht="11.25" x14ac:dyDescent="0.25">
      <c r="D442" s="237"/>
    </row>
    <row r="443" spans="4:4" s="76" customFormat="1" ht="11.25" x14ac:dyDescent="0.25">
      <c r="D443" s="237"/>
    </row>
    <row r="444" spans="4:4" s="76" customFormat="1" ht="11.25" x14ac:dyDescent="0.25">
      <c r="D444" s="237"/>
    </row>
    <row r="445" spans="4:4" s="76" customFormat="1" ht="11.25" x14ac:dyDescent="0.25">
      <c r="D445" s="237"/>
    </row>
    <row r="446" spans="4:4" s="76" customFormat="1" ht="11.25" x14ac:dyDescent="0.25">
      <c r="D446" s="237"/>
    </row>
    <row r="447" spans="4:4" s="76" customFormat="1" ht="11.25" x14ac:dyDescent="0.25">
      <c r="D447" s="237"/>
    </row>
    <row r="448" spans="4:4" s="76" customFormat="1" ht="11.25" x14ac:dyDescent="0.25">
      <c r="D448" s="237"/>
    </row>
    <row r="449" spans="4:4" s="76" customFormat="1" ht="11.25" x14ac:dyDescent="0.25">
      <c r="D449" s="237"/>
    </row>
    <row r="450" spans="4:4" s="76" customFormat="1" ht="11.25" x14ac:dyDescent="0.25">
      <c r="D450" s="237"/>
    </row>
    <row r="451" spans="4:4" s="76" customFormat="1" ht="11.25" x14ac:dyDescent="0.25">
      <c r="D451" s="237"/>
    </row>
    <row r="452" spans="4:4" s="76" customFormat="1" ht="11.25" x14ac:dyDescent="0.25">
      <c r="D452" s="237"/>
    </row>
    <row r="453" spans="4:4" s="76" customFormat="1" ht="11.25" x14ac:dyDescent="0.25">
      <c r="D453" s="237"/>
    </row>
    <row r="454" spans="4:4" s="76" customFormat="1" ht="11.25" x14ac:dyDescent="0.25">
      <c r="D454" s="237"/>
    </row>
    <row r="455" spans="4:4" s="76" customFormat="1" ht="11.25" x14ac:dyDescent="0.25">
      <c r="D455" s="237"/>
    </row>
    <row r="456" spans="4:4" s="76" customFormat="1" ht="11.25" x14ac:dyDescent="0.25">
      <c r="D456" s="237"/>
    </row>
    <row r="457" spans="4:4" s="76" customFormat="1" ht="11.25" x14ac:dyDescent="0.25">
      <c r="D457" s="237"/>
    </row>
    <row r="458" spans="4:4" s="76" customFormat="1" ht="11.25" x14ac:dyDescent="0.25">
      <c r="D458" s="237"/>
    </row>
    <row r="459" spans="4:4" s="76" customFormat="1" ht="11.25" x14ac:dyDescent="0.25">
      <c r="D459" s="237"/>
    </row>
    <row r="460" spans="4:4" s="76" customFormat="1" ht="11.25" x14ac:dyDescent="0.25">
      <c r="D460" s="237"/>
    </row>
    <row r="461" spans="4:4" s="76" customFormat="1" ht="11.25" x14ac:dyDescent="0.25">
      <c r="D461" s="237"/>
    </row>
    <row r="462" spans="4:4" s="76" customFormat="1" ht="11.25" x14ac:dyDescent="0.25">
      <c r="D462" s="237"/>
    </row>
    <row r="463" spans="4:4" s="76" customFormat="1" ht="11.25" x14ac:dyDescent="0.25">
      <c r="D463" s="237"/>
    </row>
    <row r="464" spans="4:4" s="76" customFormat="1" ht="11.25" x14ac:dyDescent="0.25">
      <c r="D464" s="237"/>
    </row>
    <row r="465" spans="4:4" s="76" customFormat="1" ht="11.25" x14ac:dyDescent="0.25">
      <c r="D465" s="237"/>
    </row>
    <row r="466" spans="4:4" s="76" customFormat="1" ht="11.25" x14ac:dyDescent="0.25">
      <c r="D466" s="237"/>
    </row>
    <row r="467" spans="4:4" s="76" customFormat="1" ht="11.25" x14ac:dyDescent="0.25">
      <c r="D467" s="237"/>
    </row>
    <row r="468" spans="4:4" s="76" customFormat="1" ht="11.25" x14ac:dyDescent="0.25">
      <c r="D468" s="237"/>
    </row>
    <row r="469" spans="4:4" s="76" customFormat="1" ht="11.25" x14ac:dyDescent="0.25">
      <c r="D469" s="237"/>
    </row>
    <row r="470" spans="4:4" s="76" customFormat="1" ht="11.25" x14ac:dyDescent="0.25">
      <c r="D470" s="237"/>
    </row>
    <row r="471" spans="4:4" s="76" customFormat="1" ht="11.25" x14ac:dyDescent="0.25">
      <c r="D471" s="237"/>
    </row>
    <row r="472" spans="4:4" s="76" customFormat="1" ht="11.25" x14ac:dyDescent="0.25">
      <c r="D472" s="237"/>
    </row>
    <row r="473" spans="4:4" s="76" customFormat="1" ht="11.25" x14ac:dyDescent="0.25">
      <c r="D473" s="237"/>
    </row>
    <row r="474" spans="4:4" s="76" customFormat="1" ht="11.25" x14ac:dyDescent="0.25">
      <c r="D474" s="237"/>
    </row>
    <row r="475" spans="4:4" s="76" customFormat="1" ht="11.25" x14ac:dyDescent="0.25">
      <c r="D475" s="237"/>
    </row>
    <row r="476" spans="4:4" s="76" customFormat="1" ht="11.25" x14ac:dyDescent="0.25">
      <c r="D476" s="237"/>
    </row>
    <row r="477" spans="4:4" s="76" customFormat="1" ht="11.25" x14ac:dyDescent="0.25">
      <c r="D477" s="237"/>
    </row>
    <row r="478" spans="4:4" s="76" customFormat="1" ht="11.25" x14ac:dyDescent="0.25">
      <c r="D478" s="237"/>
    </row>
    <row r="479" spans="4:4" s="76" customFormat="1" ht="11.25" x14ac:dyDescent="0.25">
      <c r="D479" s="237"/>
    </row>
    <row r="480" spans="4:4" s="76" customFormat="1" ht="11.25" x14ac:dyDescent="0.25">
      <c r="D480" s="237"/>
    </row>
    <row r="481" spans="1:193" s="76" customFormat="1" ht="11.25" x14ac:dyDescent="0.25">
      <c r="D481" s="237"/>
    </row>
    <row r="482" spans="1:193" s="76" customFormat="1" ht="11.25" x14ac:dyDescent="0.25">
      <c r="D482" s="237"/>
    </row>
    <row r="483" spans="1:193" s="76" customFormat="1" ht="11.25" x14ac:dyDescent="0.25">
      <c r="D483" s="237"/>
    </row>
    <row r="484" spans="1:193" s="76" customFormat="1" ht="11.25" x14ac:dyDescent="0.25">
      <c r="D484" s="237"/>
    </row>
    <row r="485" spans="1:193" s="76" customFormat="1" ht="11.25" x14ac:dyDescent="0.25">
      <c r="D485" s="237"/>
    </row>
    <row r="486" spans="1:193" x14ac:dyDescent="0.25">
      <c r="A486" s="76"/>
      <c r="B486" s="76"/>
      <c r="C486" s="76"/>
      <c r="D486" s="237"/>
      <c r="E486" s="76"/>
      <c r="F486" s="76"/>
      <c r="G486" s="76"/>
      <c r="H486" s="76"/>
      <c r="I486" s="76"/>
      <c r="J486" s="76"/>
      <c r="K486" s="7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</row>
    <row r="487" spans="1:193" x14ac:dyDescent="0.25">
      <c r="A487" s="76"/>
      <c r="B487" s="76"/>
      <c r="C487" s="76"/>
      <c r="D487" s="237"/>
      <c r="E487" s="76"/>
      <c r="F487" s="76"/>
      <c r="G487" s="76"/>
      <c r="H487" s="76"/>
      <c r="I487" s="76"/>
      <c r="J487" s="76"/>
      <c r="K487" s="76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</row>
    <row r="488" spans="1:193" x14ac:dyDescent="0.25">
      <c r="A488" s="76"/>
      <c r="B488" s="76"/>
      <c r="C488" s="76"/>
      <c r="D488" s="237"/>
      <c r="E488" s="76"/>
      <c r="F488" s="76"/>
      <c r="G488" s="76"/>
      <c r="H488" s="76"/>
      <c r="I488" s="76"/>
      <c r="J488" s="76"/>
      <c r="K488" s="76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</row>
    <row r="489" spans="1:193" x14ac:dyDescent="0.25">
      <c r="A489" s="76"/>
      <c r="B489" s="76"/>
      <c r="C489" s="76"/>
      <c r="D489" s="237"/>
      <c r="E489" s="76"/>
      <c r="F489" s="76"/>
      <c r="G489" s="76"/>
      <c r="H489" s="76"/>
      <c r="I489" s="76"/>
      <c r="J489" s="76"/>
      <c r="K489" s="76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</row>
    <row r="490" spans="1:193" x14ac:dyDescent="0.25">
      <c r="A490" s="76"/>
      <c r="B490" s="76"/>
      <c r="C490" s="76"/>
      <c r="D490" s="237"/>
      <c r="E490" s="76"/>
      <c r="F490" s="76"/>
      <c r="G490" s="76"/>
      <c r="H490" s="76"/>
      <c r="I490" s="76"/>
      <c r="J490" s="76"/>
      <c r="K490" s="76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</row>
  </sheetData>
  <autoFilter ref="A2:K40" xr:uid="{00000000-0009-0000-0000-000004000000}">
    <filterColumn colId="1" showButton="0"/>
    <filterColumn colId="2" showButton="0"/>
    <filterColumn colId="3" showButton="0"/>
  </autoFilter>
  <mergeCells count="144">
    <mergeCell ref="A81:B81"/>
    <mergeCell ref="A82:B82"/>
    <mergeCell ref="I51:I52"/>
    <mergeCell ref="J51:J52"/>
    <mergeCell ref="K51:K52"/>
    <mergeCell ref="A77:B77"/>
    <mergeCell ref="A78:B78"/>
    <mergeCell ref="A79:B79"/>
    <mergeCell ref="A51:B52"/>
    <mergeCell ref="A53:B53"/>
    <mergeCell ref="C52:D52"/>
    <mergeCell ref="A71:B71"/>
    <mergeCell ref="A72:B72"/>
    <mergeCell ref="A73:B73"/>
    <mergeCell ref="A74:B74"/>
    <mergeCell ref="A75:B75"/>
    <mergeCell ref="A76:B76"/>
    <mergeCell ref="A59:B59"/>
    <mergeCell ref="A60:B60"/>
    <mergeCell ref="A61:B61"/>
    <mergeCell ref="A62:B62"/>
    <mergeCell ref="A63:B63"/>
    <mergeCell ref="A67:B67"/>
    <mergeCell ref="G64:H64"/>
    <mergeCell ref="A1:K1"/>
    <mergeCell ref="A80:B80"/>
    <mergeCell ref="A48:I48"/>
    <mergeCell ref="A41:K41"/>
    <mergeCell ref="A50:K50"/>
    <mergeCell ref="A54:B54"/>
    <mergeCell ref="A55:B55"/>
    <mergeCell ref="A56:B56"/>
    <mergeCell ref="A57:B57"/>
    <mergeCell ref="A58:B58"/>
    <mergeCell ref="C51:H51"/>
    <mergeCell ref="A64:B64"/>
    <mergeCell ref="A65:B65"/>
    <mergeCell ref="A66:B66"/>
    <mergeCell ref="A68:B68"/>
    <mergeCell ref="A69:B69"/>
    <mergeCell ref="A70:B70"/>
    <mergeCell ref="E61:F61"/>
    <mergeCell ref="G61:H61"/>
    <mergeCell ref="E62:F62"/>
    <mergeCell ref="G62:H62"/>
    <mergeCell ref="E63:F63"/>
    <mergeCell ref="G63:H63"/>
    <mergeCell ref="E64:F64"/>
    <mergeCell ref="E73:F73"/>
    <mergeCell ref="G73:H73"/>
    <mergeCell ref="E74:F74"/>
    <mergeCell ref="E60:F60"/>
    <mergeCell ref="G60:H60"/>
    <mergeCell ref="E65:F65"/>
    <mergeCell ref="G65:H65"/>
    <mergeCell ref="E66:F66"/>
    <mergeCell ref="G66:H66"/>
    <mergeCell ref="E67:F67"/>
    <mergeCell ref="G67:H67"/>
    <mergeCell ref="E68:F68"/>
    <mergeCell ref="G68:H68"/>
    <mergeCell ref="E70:F70"/>
    <mergeCell ref="G70:H70"/>
    <mergeCell ref="E71:F71"/>
    <mergeCell ref="G71:H71"/>
    <mergeCell ref="G76:H76"/>
    <mergeCell ref="E77:F77"/>
    <mergeCell ref="G77:H77"/>
    <mergeCell ref="C83:D83"/>
    <mergeCell ref="E52:F52"/>
    <mergeCell ref="E53:F53"/>
    <mergeCell ref="G52:H52"/>
    <mergeCell ref="G53:H53"/>
    <mergeCell ref="E54:F54"/>
    <mergeCell ref="G54:H54"/>
    <mergeCell ref="E55:F55"/>
    <mergeCell ref="G55:H55"/>
    <mergeCell ref="E56:F56"/>
    <mergeCell ref="G56:H56"/>
    <mergeCell ref="E57:F57"/>
    <mergeCell ref="G57:H57"/>
    <mergeCell ref="E58:F58"/>
    <mergeCell ref="G58:H58"/>
    <mergeCell ref="E59:F59"/>
    <mergeCell ref="G59:H59"/>
    <mergeCell ref="E69:F69"/>
    <mergeCell ref="G69:H69"/>
    <mergeCell ref="E72:F72"/>
    <mergeCell ref="G72:H72"/>
    <mergeCell ref="B21:E21"/>
    <mergeCell ref="B22:E22"/>
    <mergeCell ref="B23:E23"/>
    <mergeCell ref="B24:E24"/>
    <mergeCell ref="B25:E25"/>
    <mergeCell ref="B26:E26"/>
    <mergeCell ref="B20:E20"/>
    <mergeCell ref="A39:G39"/>
    <mergeCell ref="E83:F83"/>
    <mergeCell ref="G83:H83"/>
    <mergeCell ref="E81:F81"/>
    <mergeCell ref="G81:H81"/>
    <mergeCell ref="E82:F82"/>
    <mergeCell ref="G82:H82"/>
    <mergeCell ref="E78:F78"/>
    <mergeCell ref="G78:H78"/>
    <mergeCell ref="G74:H74"/>
    <mergeCell ref="E75:F75"/>
    <mergeCell ref="G75:H75"/>
    <mergeCell ref="E79:F79"/>
    <mergeCell ref="G79:H79"/>
    <mergeCell ref="E80:F80"/>
    <mergeCell ref="G80:H80"/>
    <mergeCell ref="E76:F76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2:E2"/>
    <mergeCell ref="B3:E3"/>
    <mergeCell ref="B4:E4"/>
    <mergeCell ref="B5:E5"/>
    <mergeCell ref="B6:E6"/>
    <mergeCell ref="B7:E7"/>
    <mergeCell ref="B8:E8"/>
    <mergeCell ref="B9:E9"/>
    <mergeCell ref="B10:E10"/>
    <mergeCell ref="K43:K47"/>
    <mergeCell ref="B27:E27"/>
    <mergeCell ref="B28:E28"/>
    <mergeCell ref="B29:E29"/>
    <mergeCell ref="B30:E30"/>
    <mergeCell ref="B31:E31"/>
    <mergeCell ref="B34:E34"/>
    <mergeCell ref="B35:E35"/>
    <mergeCell ref="B36:E36"/>
    <mergeCell ref="B37:E37"/>
    <mergeCell ref="B38:E38"/>
    <mergeCell ref="B32:E32"/>
    <mergeCell ref="B33:E33"/>
  </mergeCells>
  <dataValidations count="1">
    <dataValidation type="decimal" operator="greaterThanOrEqual" allowBlank="1" showInputMessage="1" showErrorMessage="1" sqref="J46" xr:uid="{00000000-0002-0000-0400-000000000000}">
      <formula1>0</formula1>
    </dataValidation>
  </dataValidations>
  <pageMargins left="0.43307086614173229" right="0.15748031496062992" top="0.47244094488188981" bottom="0.27559055118110237" header="0.27559055118110237" footer="0.15748031496062992"/>
  <pageSetup paperSize="9" scale="70" fitToHeight="3" orientation="portrait" r:id="rId1"/>
  <headerFooter>
    <oddHeader>&amp;C&amp;"-,Negrito"PLANILHA DE COMPOSIÇÃO DE CUSTOSCUSTO RESUMIDO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GK492"/>
  <sheetViews>
    <sheetView showGridLines="0" zoomScaleNormal="100" workbookViewId="0"/>
  </sheetViews>
  <sheetFormatPr defaultRowHeight="15" x14ac:dyDescent="0.25"/>
  <cols>
    <col min="1" max="1" width="7" customWidth="1"/>
    <col min="2" max="2" width="39" customWidth="1"/>
    <col min="3" max="3" width="10.85546875" bestFit="1" customWidth="1"/>
    <col min="4" max="4" width="5" style="238" customWidth="1"/>
    <col min="5" max="5" width="4.28515625" customWidth="1"/>
    <col min="6" max="6" width="13.42578125" customWidth="1"/>
    <col min="7" max="7" width="11" customWidth="1"/>
    <col min="8" max="8" width="8.5703125" bestFit="1" customWidth="1"/>
    <col min="9" max="9" width="14" customWidth="1"/>
    <col min="10" max="10" width="12" customWidth="1"/>
    <col min="11" max="11" width="13.7109375" customWidth="1"/>
    <col min="12" max="12" width="10.85546875" style="76" customWidth="1"/>
    <col min="13" max="13" width="11.42578125" style="76" bestFit="1" customWidth="1"/>
    <col min="14" max="14" width="8.85546875" style="76"/>
    <col min="15" max="15" width="10.5703125" style="76" bestFit="1" customWidth="1"/>
    <col min="16" max="193" width="8.85546875" style="76"/>
  </cols>
  <sheetData>
    <row r="1" spans="1:193" ht="14.25" customHeight="1" x14ac:dyDescent="0.25">
      <c r="B1" s="241" t="s">
        <v>237</v>
      </c>
      <c r="C1" s="491" t="s">
        <v>1317</v>
      </c>
      <c r="D1" s="492"/>
      <c r="E1" s="492"/>
      <c r="F1" s="492"/>
      <c r="G1" s="492"/>
      <c r="H1" s="493"/>
    </row>
    <row r="2" spans="1:193" ht="6.6" customHeight="1" x14ac:dyDescent="0.25"/>
    <row r="3" spans="1:193" x14ac:dyDescent="0.25">
      <c r="A3" s="473" t="s">
        <v>213</v>
      </c>
      <c r="B3" s="474"/>
      <c r="C3" s="474"/>
      <c r="D3" s="474"/>
      <c r="E3" s="474"/>
      <c r="F3" s="474"/>
      <c r="G3" s="474"/>
      <c r="H3" s="474"/>
      <c r="I3" s="474"/>
      <c r="J3" s="474"/>
      <c r="K3" s="475"/>
    </row>
    <row r="4" spans="1:193" ht="24" customHeight="1" x14ac:dyDescent="0.25">
      <c r="A4" s="189" t="s">
        <v>99</v>
      </c>
      <c r="B4" s="463" t="s">
        <v>162</v>
      </c>
      <c r="C4" s="464"/>
      <c r="D4" s="464"/>
      <c r="E4" s="465"/>
      <c r="F4" s="190" t="s">
        <v>163</v>
      </c>
      <c r="G4" s="190" t="s">
        <v>164</v>
      </c>
      <c r="H4" s="188" t="s">
        <v>214</v>
      </c>
      <c r="I4" s="190" t="s">
        <v>215</v>
      </c>
      <c r="J4" s="191" t="s">
        <v>134</v>
      </c>
      <c r="K4" s="191" t="s">
        <v>216</v>
      </c>
    </row>
    <row r="5" spans="1:193" ht="14.45" customHeight="1" x14ac:dyDescent="0.25">
      <c r="A5" s="77">
        <v>690001</v>
      </c>
      <c r="B5" s="460" t="str">
        <f>VLOOKUP(A5,'Tabela de Códigos e Valores'!A:B,2,FALSE)</f>
        <v>Auxiliar de limpeza - diurno - 44 horas semanais (segunda a sexta-feira)</v>
      </c>
      <c r="C5" s="461"/>
      <c r="D5" s="461"/>
      <c r="E5" s="462"/>
      <c r="F5" s="176" t="str">
        <f>VLOOKUP($A5,'Tabela de Códigos e Valores'!$A:$M,5,FALSE)</f>
        <v>Posto</v>
      </c>
      <c r="G5" s="176" t="str">
        <f>VLOOKUP($A5,'Tabela de Códigos e Valores'!$A:$M,6,FALSE)</f>
        <v>Mensal</v>
      </c>
      <c r="H5" s="239">
        <f>SUMIFS('Relatório Custo'!$K:$K,'Relatório Custo'!$E:$E,$A5,'Relatório Custo'!$C:$C,'Custo  Resumido por local'!$C$1)</f>
        <v>1</v>
      </c>
      <c r="I5" s="78">
        <f>IF(F5="Posto",SUMIFS('Relatório Custo'!$Z:$Z,'Relatório Custo'!$E:$E,$A5,'Relatório Custo'!$C:$C,'Custo  Resumido por local'!$C$1),0)</f>
        <v>1717.2</v>
      </c>
      <c r="J5" s="78">
        <f>SUMIFS('Relatório Custo'!$V:$V,'Relatório Custo'!$E:$E,$A5,'Relatório Custo'!$C:$C,'Custo  Resumido por local'!$C$1)</f>
        <v>5700.51</v>
      </c>
      <c r="K5" s="78">
        <f>SUMIFS('Relatório Custo'!$X:$X,'Relatório Custo'!$E:$E,$A5,'Relatório Custo'!$C:$C,'Custo  Resumido por local'!$C$1)</f>
        <v>171015.30000000002</v>
      </c>
      <c r="L5" s="79"/>
      <c r="M5" s="79"/>
      <c r="N5" s="80"/>
    </row>
    <row r="6" spans="1:193" x14ac:dyDescent="0.25">
      <c r="A6" s="77">
        <v>690002</v>
      </c>
      <c r="B6" s="460" t="str">
        <f>VLOOKUP(A6,'Tabela de Códigos e Valores'!A:B,2,FALSE)</f>
        <v>Auxiliar de limpeza - diurno - 24 horas  semanais</v>
      </c>
      <c r="C6" s="461"/>
      <c r="D6" s="461"/>
      <c r="E6" s="462"/>
      <c r="F6" s="176" t="str">
        <f>VLOOKUP($A6,'Tabela de Códigos e Valores'!$A:$M,5,FALSE)</f>
        <v>Posto</v>
      </c>
      <c r="G6" s="176" t="str">
        <f>VLOOKUP($A6,'Tabela de Códigos e Valores'!$A:$M,6,FALSE)</f>
        <v>Mensal</v>
      </c>
      <c r="H6" s="239">
        <f>SUMIFS('Relatório Custo'!$K:$K,'Relatório Custo'!$E:$E,$A6,'Relatório Custo'!$C:$C,'Custo  Resumido por local'!$C$1)</f>
        <v>1</v>
      </c>
      <c r="I6" s="78">
        <f>IF(F6="Posto",SUMIFS('Relatório Custo'!$Z:$Z,'Relatório Custo'!$E:$E,$A6,'Relatório Custo'!$C:$C,'Custo  Resumido por local'!$C$1),0)</f>
        <v>1030.32</v>
      </c>
      <c r="J6" s="78">
        <f>SUMIFS('Relatório Custo'!$V:$V,'Relatório Custo'!$E:$E,$A6,'Relatório Custo'!$C:$C,'Custo  Resumido por local'!$C$1)</f>
        <v>3368.5</v>
      </c>
      <c r="K6" s="78">
        <f>SUMIFS('Relatório Custo'!$X:$X,'Relatório Custo'!$E:$E,$A6,'Relatório Custo'!$C:$C,'Custo  Resumido por local'!$C$1)</f>
        <v>101055</v>
      </c>
      <c r="L6" s="79"/>
      <c r="M6" s="79"/>
    </row>
    <row r="7" spans="1:193" x14ac:dyDescent="0.25">
      <c r="A7" s="77">
        <v>690003</v>
      </c>
      <c r="B7" s="460" t="str">
        <f>VLOOKUP(A7,'Tabela de Códigos e Valores'!A:B,2,FALSE)</f>
        <v>Auxiliar de limpeza - noturno - 44 horas  semanais</v>
      </c>
      <c r="C7" s="461"/>
      <c r="D7" s="461"/>
      <c r="E7" s="462"/>
      <c r="F7" s="176" t="str">
        <f>VLOOKUP($A7,'Tabela de Códigos e Valores'!$A:$M,5,FALSE)</f>
        <v>Posto</v>
      </c>
      <c r="G7" s="176" t="str">
        <f>VLOOKUP($A7,'Tabela de Códigos e Valores'!$A:$M,6,FALSE)</f>
        <v>Mensal</v>
      </c>
      <c r="H7" s="239">
        <f>SUMIFS('Relatório Custo'!$K:$K,'Relatório Custo'!$E:$E,$A7,'Relatório Custo'!$C:$C,'Custo  Resumido por local'!$C$1)</f>
        <v>1</v>
      </c>
      <c r="I7" s="78">
        <f>IF(F7="Posto",SUMIFS('Relatório Custo'!$Z:$Z,'Relatório Custo'!$E:$E,$A7,'Relatório Custo'!$C:$C,'Custo  Resumido por local'!$C$1),0)</f>
        <v>2082.5</v>
      </c>
      <c r="J7" s="78">
        <f>SUMIFS('Relatório Custo'!$V:$V,'Relatório Custo'!$E:$E,$A7,'Relatório Custo'!$C:$C,'Custo  Resumido por local'!$C$1)</f>
        <v>6655.17</v>
      </c>
      <c r="K7" s="78">
        <f>SUMIFS('Relatório Custo'!$X:$X,'Relatório Custo'!$E:$E,$A7,'Relatório Custo'!$C:$C,'Custo  Resumido por local'!$C$1)</f>
        <v>199655.1</v>
      </c>
      <c r="L7" s="79"/>
      <c r="M7" s="79"/>
    </row>
    <row r="8" spans="1:193" x14ac:dyDescent="0.25">
      <c r="A8" s="77">
        <v>690004</v>
      </c>
      <c r="B8" s="460" t="str">
        <f>VLOOKUP(A8,'Tabela de Códigos e Valores'!A:B,2,FALSE)</f>
        <v>Serviço de limpeza - plantonista - domingos e feriados (5 horas)</v>
      </c>
      <c r="C8" s="461"/>
      <c r="D8" s="461"/>
      <c r="E8" s="462"/>
      <c r="F8" s="176" t="str">
        <f>VLOOKUP($A8,'Tabela de Códigos e Valores'!$A:$M,5,FALSE)</f>
        <v>Plantão - Dom/Fer</v>
      </c>
      <c r="G8" s="176" t="str">
        <f>VLOOKUP($A8,'Tabela de Códigos e Valores'!$A:$M,6,FALSE)</f>
        <v>Mensal</v>
      </c>
      <c r="H8" s="239">
        <f>SUMIFS('Relatório Custo'!$K:$K,'Relatório Custo'!$E:$E,$A8,'Relatório Custo'!$C:$C,'Custo  Resumido por local'!$C$1)</f>
        <v>1</v>
      </c>
      <c r="I8" s="78">
        <f>IF(F8="Posto",SUMIFS('Relatório Custo'!$Z:$Z,'Relatório Custo'!$E:$E,$A8,'Relatório Custo'!$C:$C,'Custo  Resumido por local'!$C$1),0)</f>
        <v>0</v>
      </c>
      <c r="J8" s="78">
        <f>SUMIFS('Relatório Custo'!$V:$V,'Relatório Custo'!$E:$E,$A8,'Relatório Custo'!$C:$C,'Custo  Resumido por local'!$C$1)</f>
        <v>1312.25</v>
      </c>
      <c r="K8" s="78">
        <f>SUMIFS('Relatório Custo'!$X:$X,'Relatório Custo'!$E:$E,$A8,'Relatório Custo'!$C:$C,'Custo  Resumido por local'!$C$1)</f>
        <v>39367.5</v>
      </c>
      <c r="L8" s="79"/>
      <c r="M8" s="79"/>
    </row>
    <row r="9" spans="1:193" s="83" customFormat="1" x14ac:dyDescent="0.25">
      <c r="A9" s="77">
        <v>690013</v>
      </c>
      <c r="B9" s="460" t="str">
        <f>VLOOKUP(A9,'Tabela de Códigos e Valores'!A:B,2,FALSE)</f>
        <v>Limpador(a) de vidros - diurno - 44 horas semanais</v>
      </c>
      <c r="C9" s="461"/>
      <c r="D9" s="461"/>
      <c r="E9" s="462"/>
      <c r="F9" s="176" t="str">
        <f>VLOOKUP($A9,'Tabela de Códigos e Valores'!$A:$M,5,FALSE)</f>
        <v>Posto</v>
      </c>
      <c r="G9" s="176" t="str">
        <f>VLOOKUP($A9,'Tabela de Códigos e Valores'!$A:$M,6,FALSE)</f>
        <v>Mensal</v>
      </c>
      <c r="H9" s="239">
        <f>SUMIFS('Relatório Custo'!$K:$K,'Relatório Custo'!$E:$E,$A9,'Relatório Custo'!$C:$C,'Custo  Resumido por local'!$C$1)</f>
        <v>1</v>
      </c>
      <c r="I9" s="78">
        <f>IF(F9="Posto",SUMIFS('Relatório Custo'!$Z:$Z,'Relatório Custo'!$E:$E,$A9,'Relatório Custo'!$C:$C,'Custo  Resumido por local'!$C$1),0)</f>
        <v>1882.34</v>
      </c>
      <c r="J9" s="78">
        <f>SUMIFS('Relatório Custo'!$V:$V,'Relatório Custo'!$E:$E,$A9,'Relatório Custo'!$C:$C,'Custo  Resumido por local'!$C$1)</f>
        <v>6182.7</v>
      </c>
      <c r="K9" s="78">
        <f>SUMIFS('Relatório Custo'!$X:$X,'Relatório Custo'!$E:$E,$A9,'Relatório Custo'!$C:$C,'Custo  Resumido por local'!$C$1)</f>
        <v>185481</v>
      </c>
      <c r="L9" s="81"/>
      <c r="M9" s="81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  <c r="FG9" s="82"/>
      <c r="FH9" s="82"/>
      <c r="FI9" s="82"/>
      <c r="FJ9" s="82"/>
      <c r="FK9" s="82"/>
      <c r="FL9" s="82"/>
      <c r="FM9" s="82"/>
      <c r="FN9" s="82"/>
      <c r="FO9" s="82"/>
      <c r="FP9" s="82"/>
      <c r="FQ9" s="82"/>
      <c r="FR9" s="82"/>
      <c r="FS9" s="82"/>
      <c r="FT9" s="82"/>
      <c r="FU9" s="82"/>
      <c r="FV9" s="82"/>
      <c r="FW9" s="82"/>
      <c r="FX9" s="82"/>
      <c r="FY9" s="82"/>
      <c r="FZ9" s="82"/>
      <c r="GA9" s="82"/>
      <c r="GB9" s="82"/>
      <c r="GC9" s="82"/>
      <c r="GD9" s="82"/>
      <c r="GE9" s="82"/>
      <c r="GF9" s="82"/>
      <c r="GG9" s="82"/>
      <c r="GH9" s="82"/>
      <c r="GI9" s="82"/>
      <c r="GJ9" s="82"/>
      <c r="GK9" s="82"/>
    </row>
    <row r="10" spans="1:193" s="83" customFormat="1" x14ac:dyDescent="0.25">
      <c r="A10" s="77">
        <v>690014</v>
      </c>
      <c r="B10" s="460" t="str">
        <f>VLOOKUP(A10,'Tabela de Códigos e Valores'!A:B,2,FALSE)</f>
        <v>Limpador(a) de vidros - noturno - 44 horas semanais</v>
      </c>
      <c r="C10" s="461"/>
      <c r="D10" s="461"/>
      <c r="E10" s="462"/>
      <c r="F10" s="176" t="str">
        <f>VLOOKUP($A10,'Tabela de Códigos e Valores'!$A:$M,5,FALSE)</f>
        <v>Posto</v>
      </c>
      <c r="G10" s="176" t="str">
        <f>VLOOKUP($A10,'Tabela de Códigos e Valores'!$A:$M,6,FALSE)</f>
        <v>Mensal</v>
      </c>
      <c r="H10" s="239">
        <f>SUMIFS('Relatório Custo'!$K:$K,'Relatório Custo'!$E:$E,$A10,'Relatório Custo'!$C:$C,'Custo  Resumido por local'!$C$1)</f>
        <v>1</v>
      </c>
      <c r="I10" s="78">
        <f>IF(F10="Posto",SUMIFS('Relatório Custo'!$Z:$Z,'Relatório Custo'!$E:$E,$A10,'Relatório Custo'!$C:$C,'Custo  Resumido por local'!$C$1),0)</f>
        <v>2402.89</v>
      </c>
      <c r="J10" s="78">
        <f>SUMIFS('Relatório Custo'!$V:$V,'Relatório Custo'!$E:$E,$A10,'Relatório Custo'!$C:$C,'Custo  Resumido por local'!$C$1)</f>
        <v>7543.08</v>
      </c>
      <c r="K10" s="78">
        <f>SUMIFS('Relatório Custo'!$X:$X,'Relatório Custo'!$E:$E,$A10,'Relatório Custo'!$C:$C,'Custo  Resumido por local'!$C$1)</f>
        <v>226292.4</v>
      </c>
      <c r="L10" s="81"/>
      <c r="M10" s="81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  <c r="FQ10" s="82"/>
      <c r="FR10" s="82"/>
      <c r="FS10" s="82"/>
      <c r="FT10" s="82"/>
      <c r="FU10" s="82"/>
      <c r="FV10" s="82"/>
      <c r="FW10" s="82"/>
      <c r="FX10" s="82"/>
      <c r="FY10" s="82"/>
      <c r="FZ10" s="82"/>
      <c r="GA10" s="82"/>
      <c r="GB10" s="82"/>
      <c r="GC10" s="82"/>
      <c r="GD10" s="82"/>
      <c r="GE10" s="82"/>
      <c r="GF10" s="82"/>
      <c r="GG10" s="82"/>
      <c r="GH10" s="82"/>
      <c r="GI10" s="82"/>
      <c r="GJ10" s="82"/>
      <c r="GK10" s="82"/>
    </row>
    <row r="11" spans="1:193" s="83" customFormat="1" ht="14.45" customHeight="1" x14ac:dyDescent="0.25">
      <c r="A11" s="77">
        <v>690015</v>
      </c>
      <c r="B11" s="460" t="str">
        <f>VLOOKUP(A11,'Tabela de Códigos e Valores'!A:B,2,FALSE)</f>
        <v>Limpador(a) de vidros com exposição à risco - diurno - 44 horas semanais</v>
      </c>
      <c r="C11" s="461"/>
      <c r="D11" s="461"/>
      <c r="E11" s="462"/>
      <c r="F11" s="176" t="str">
        <f>VLOOKUP($A11,'Tabela de Códigos e Valores'!$A:$M,5,FALSE)</f>
        <v>Posto</v>
      </c>
      <c r="G11" s="176" t="str">
        <f>VLOOKUP($A11,'Tabela de Códigos e Valores'!$A:$M,6,FALSE)</f>
        <v>Mensal</v>
      </c>
      <c r="H11" s="239">
        <f>SUMIFS('Relatório Custo'!$K:$K,'Relatório Custo'!$E:$E,$A11,'Relatório Custo'!$C:$C,'Custo  Resumido por local'!$C$1)</f>
        <v>1</v>
      </c>
      <c r="I11" s="78">
        <f>IF(F11="Posto",SUMIFS('Relatório Custo'!$Z:$Z,'Relatório Custo'!$E:$E,$A11,'Relatório Custo'!$C:$C,'Custo  Resumido por local'!$C$1),0)</f>
        <v>2447.04</v>
      </c>
      <c r="J11" s="78">
        <f>SUMIFS('Relatório Custo'!$V:$V,'Relatório Custo'!$E:$E,$A11,'Relatório Custo'!$C:$C,'Custo  Resumido por local'!$C$1)</f>
        <v>7658.46</v>
      </c>
      <c r="K11" s="78">
        <f>SUMIFS('Relatório Custo'!$X:$X,'Relatório Custo'!$E:$E,$A11,'Relatório Custo'!$C:$C,'Custo  Resumido por local'!$C$1)</f>
        <v>229753.8</v>
      </c>
      <c r="L11" s="81"/>
      <c r="M11" s="81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</row>
    <row r="12" spans="1:193" s="83" customFormat="1" ht="14.45" customHeight="1" x14ac:dyDescent="0.25">
      <c r="A12" s="77">
        <v>690016</v>
      </c>
      <c r="B12" s="460" t="str">
        <f>VLOOKUP(A12,'Tabela de Códigos e Valores'!A:B,2,FALSE)</f>
        <v>Limpador(a) de vidros com exposição à risco - diurno - 24 horas semanais</v>
      </c>
      <c r="C12" s="461"/>
      <c r="D12" s="461"/>
      <c r="E12" s="462"/>
      <c r="F12" s="176" t="str">
        <f>VLOOKUP($A12,'Tabela de Códigos e Valores'!$A:$M,5,FALSE)</f>
        <v>Posto</v>
      </c>
      <c r="G12" s="176" t="str">
        <f>VLOOKUP($A12,'Tabela de Códigos e Valores'!$A:$M,6,FALSE)</f>
        <v>Mensal</v>
      </c>
      <c r="H12" s="239">
        <f>SUMIFS('Relatório Custo'!$K:$K,'Relatório Custo'!$E:$E,$A12,'Relatório Custo'!$C:$C,'Custo  Resumido por local'!$C$1)</f>
        <v>1</v>
      </c>
      <c r="I12" s="78">
        <f>IF(F12="Posto",SUMIFS('Relatório Custo'!$Z:$Z,'Relatório Custo'!$E:$E,$A12,'Relatório Custo'!$C:$C,'Custo  Resumido por local'!$C$1),0)</f>
        <v>1468.22</v>
      </c>
      <c r="J12" s="78">
        <f>SUMIFS('Relatório Custo'!$V:$V,'Relatório Custo'!$E:$E,$A12,'Relatório Custo'!$C:$C,'Custo  Resumido por local'!$C$1)</f>
        <v>4569.34</v>
      </c>
      <c r="K12" s="78">
        <f>SUMIFS('Relatório Custo'!$X:$X,'Relatório Custo'!$E:$E,$A12,'Relatório Custo'!$C:$C,'Custo  Resumido por local'!$C$1)</f>
        <v>137080.20000000001</v>
      </c>
      <c r="L12" s="81"/>
      <c r="M12" s="81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</row>
    <row r="13" spans="1:193" s="83" customFormat="1" ht="14.45" customHeight="1" x14ac:dyDescent="0.25">
      <c r="A13" s="77">
        <v>690017</v>
      </c>
      <c r="B13" s="460" t="str">
        <f>VLOOKUP(A13,'Tabela de Códigos e Valores'!A:B,2,FALSE)</f>
        <v>Limpador(a) de vidros com exposição à risco - noturno - 44 horas semanais</v>
      </c>
      <c r="C13" s="461"/>
      <c r="D13" s="461"/>
      <c r="E13" s="462"/>
      <c r="F13" s="176" t="str">
        <f>VLOOKUP($A13,'Tabela de Códigos e Valores'!$A:$M,5,FALSE)</f>
        <v>Posto</v>
      </c>
      <c r="G13" s="176" t="str">
        <f>VLOOKUP($A13,'Tabela de Códigos e Valores'!$A:$M,6,FALSE)</f>
        <v>Mensal</v>
      </c>
      <c r="H13" s="239">
        <f>SUMIFS('Relatório Custo'!$K:$K,'Relatório Custo'!$E:$E,$A13,'Relatório Custo'!$C:$C,'Custo  Resumido por local'!$C$1)</f>
        <v>1</v>
      </c>
      <c r="I13" s="78">
        <f>IF(F13="Posto",SUMIFS('Relatório Custo'!$Z:$Z,'Relatório Custo'!$E:$E,$A13,'Relatório Custo'!$C:$C,'Custo  Resumido por local'!$C$1),0)</f>
        <v>2967.59</v>
      </c>
      <c r="J13" s="78">
        <f>SUMIFS('Relatório Custo'!$V:$V,'Relatório Custo'!$E:$E,$A13,'Relatório Custo'!$C:$C,'Custo  Resumido por local'!$C$1)</f>
        <v>9018.83</v>
      </c>
      <c r="K13" s="78">
        <f>SUMIFS('Relatório Custo'!$X:$X,'Relatório Custo'!$E:$E,$A13,'Relatório Custo'!$C:$C,'Custo  Resumido por local'!$C$1)</f>
        <v>270564.90000000002</v>
      </c>
      <c r="L13" s="81"/>
      <c r="M13" s="81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</row>
    <row r="14" spans="1:193" s="83" customFormat="1" x14ac:dyDescent="0.25">
      <c r="A14" s="77">
        <v>690018</v>
      </c>
      <c r="B14" s="460" t="str">
        <f>VLOOKUP(A14,'Tabela de Códigos e Valores'!A:B,2,FALSE)</f>
        <v>Jardineiro(a) - 44 horas semanais</v>
      </c>
      <c r="C14" s="461"/>
      <c r="D14" s="461"/>
      <c r="E14" s="462"/>
      <c r="F14" s="176" t="str">
        <f>VLOOKUP($A14,'Tabela de Códigos e Valores'!$A:$M,5,FALSE)</f>
        <v>Posto</v>
      </c>
      <c r="G14" s="176" t="str">
        <f>VLOOKUP($A14,'Tabela de Códigos e Valores'!$A:$M,6,FALSE)</f>
        <v>Mensal</v>
      </c>
      <c r="H14" s="239">
        <f>SUMIFS('Relatório Custo'!$K:$K,'Relatório Custo'!$E:$E,$A14,'Relatório Custo'!$C:$C,'Custo  Resumido por local'!$C$1)</f>
        <v>1</v>
      </c>
      <c r="I14" s="78">
        <f>IF(F14="Posto",SUMIFS('Relatório Custo'!$Z:$Z,'Relatório Custo'!$E:$E,$A14,'Relatório Custo'!$C:$C,'Custo  Resumido por local'!$C$1),0)</f>
        <v>2078.87</v>
      </c>
      <c r="J14" s="78">
        <f>SUMIFS('Relatório Custo'!$V:$V,'Relatório Custo'!$E:$E,$A14,'Relatório Custo'!$C:$C,'Custo  Resumido por local'!$C$1)</f>
        <v>6409.27</v>
      </c>
      <c r="K14" s="78">
        <f>SUMIFS('Relatório Custo'!$X:$X,'Relatório Custo'!$E:$E,$A14,'Relatório Custo'!$C:$C,'Custo  Resumido por local'!$C$1)</f>
        <v>192278.1</v>
      </c>
      <c r="L14" s="81"/>
      <c r="M14" s="81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</row>
    <row r="15" spans="1:193" s="83" customFormat="1" x14ac:dyDescent="0.25">
      <c r="A15" s="77">
        <v>690019</v>
      </c>
      <c r="B15" s="460" t="str">
        <f>VLOOKUP(A15,'Tabela de Códigos e Valores'!A:B,2,FALSE)</f>
        <v>Jardineiro(a) - 24 horas semanais</v>
      </c>
      <c r="C15" s="461"/>
      <c r="D15" s="461"/>
      <c r="E15" s="462"/>
      <c r="F15" s="176" t="str">
        <f>VLOOKUP($A15,'Tabela de Códigos e Valores'!$A:$M,5,FALSE)</f>
        <v>Posto</v>
      </c>
      <c r="G15" s="176" t="str">
        <f>VLOOKUP($A15,'Tabela de Códigos e Valores'!$A:$M,6,FALSE)</f>
        <v>Mensal</v>
      </c>
      <c r="H15" s="239">
        <f>SUMIFS('Relatório Custo'!$K:$K,'Relatório Custo'!$E:$E,$A15,'Relatório Custo'!$C:$C,'Custo  Resumido por local'!$C$1)</f>
        <v>1</v>
      </c>
      <c r="I15" s="78">
        <f>IF(F15="Posto",SUMIFS('Relatório Custo'!$Z:$Z,'Relatório Custo'!$E:$E,$A15,'Relatório Custo'!$C:$C,'Custo  Resumido por local'!$C$1),0)</f>
        <v>1385.91</v>
      </c>
      <c r="J15" s="78">
        <f>SUMIFS('Relatório Custo'!$V:$V,'Relatório Custo'!$E:$E,$A15,'Relatório Custo'!$C:$C,'Custo  Resumido por local'!$C$1)</f>
        <v>4659.38</v>
      </c>
      <c r="K15" s="78">
        <f>SUMIFS('Relatório Custo'!$X:$X,'Relatório Custo'!$E:$E,$A15,'Relatório Custo'!$C:$C,'Custo  Resumido por local'!$C$1)</f>
        <v>139781.4</v>
      </c>
      <c r="L15" s="81"/>
      <c r="M15" s="81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  <c r="FQ15" s="82"/>
      <c r="FR15" s="82"/>
      <c r="FS15" s="82"/>
      <c r="FT15" s="82"/>
      <c r="FU15" s="82"/>
      <c r="FV15" s="82"/>
      <c r="FW15" s="82"/>
      <c r="FX15" s="82"/>
      <c r="FY15" s="82"/>
      <c r="FZ15" s="82"/>
      <c r="GA15" s="82"/>
      <c r="GB15" s="82"/>
      <c r="GC15" s="82"/>
      <c r="GD15" s="82"/>
      <c r="GE15" s="82"/>
      <c r="GF15" s="82"/>
      <c r="GG15" s="82"/>
      <c r="GH15" s="82"/>
      <c r="GI15" s="82"/>
      <c r="GJ15" s="82"/>
      <c r="GK15" s="82"/>
    </row>
    <row r="16" spans="1:193" s="83" customFormat="1" x14ac:dyDescent="0.25">
      <c r="A16" s="77">
        <v>690020</v>
      </c>
      <c r="B16" s="460" t="str">
        <f>VLOOKUP(A16,'Tabela de Códigos e Valores'!A:B,2,FALSE)</f>
        <v>Serviço de Jardinagem</v>
      </c>
      <c r="C16" s="461"/>
      <c r="D16" s="461"/>
      <c r="E16" s="462"/>
      <c r="F16" s="176" t="str">
        <f>VLOOKUP($A16,'Tabela de Códigos e Valores'!$A:$M,5,FALSE)</f>
        <v>M2</v>
      </c>
      <c r="G16" s="176" t="str">
        <f>VLOOKUP($A16,'Tabela de Códigos e Valores'!$A:$M,6,FALSE)</f>
        <v>Mensal</v>
      </c>
      <c r="H16" s="239">
        <f>SUMIFS('Relatório Custo'!$K:$K,'Relatório Custo'!$E:$E,$A16,'Relatório Custo'!$C:$C,'Custo  Resumido por local'!$C$1)</f>
        <v>1</v>
      </c>
      <c r="I16" s="78">
        <f>IF(F16="Posto",SUMIFS('Relatório Custo'!$Z:$Z,'Relatório Custo'!$E:$E,$A16,'Relatório Custo'!$C:$C,'Custo  Resumido por local'!$C$1),0)</f>
        <v>0</v>
      </c>
      <c r="J16" s="78">
        <f>SUMIFS('Relatório Custo'!$V:$V,'Relatório Custo'!$E:$E,$A16,'Relatório Custo'!$C:$C,'Custo  Resumido por local'!$C$1)</f>
        <v>1.0900000000000001</v>
      </c>
      <c r="K16" s="78">
        <f>SUMIFS('Relatório Custo'!$X:$X,'Relatório Custo'!$E:$E,$A16,'Relatório Custo'!$C:$C,'Custo  Resumido por local'!$C$1)</f>
        <v>32.700000000000003</v>
      </c>
      <c r="L16" s="81"/>
      <c r="M16" s="81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  <c r="FQ16" s="82"/>
      <c r="FR16" s="82"/>
      <c r="FS16" s="82"/>
      <c r="FT16" s="82"/>
      <c r="FU16" s="82"/>
      <c r="FV16" s="82"/>
      <c r="FW16" s="82"/>
      <c r="FX16" s="82"/>
      <c r="FY16" s="82"/>
      <c r="FZ16" s="82"/>
      <c r="GA16" s="82"/>
      <c r="GB16" s="82"/>
      <c r="GC16" s="82"/>
      <c r="GD16" s="82"/>
      <c r="GE16" s="82"/>
      <c r="GF16" s="82"/>
      <c r="GG16" s="82"/>
      <c r="GH16" s="82"/>
      <c r="GI16" s="82"/>
      <c r="GJ16" s="82"/>
      <c r="GK16" s="82"/>
    </row>
    <row r="17" spans="1:193" ht="14.45" customHeight="1" x14ac:dyDescent="0.25">
      <c r="A17" s="77">
        <v>690021</v>
      </c>
      <c r="B17" s="460" t="str">
        <f>VLOOKUP(A17,'Tabela de Códigos e Valores'!A:B,2,FALSE)</f>
        <v>Serviço de limpeza de vidros com exposição à situação de risco</v>
      </c>
      <c r="C17" s="461"/>
      <c r="D17" s="461"/>
      <c r="E17" s="462"/>
      <c r="F17" s="176" t="str">
        <f>VLOOKUP($A17,'Tabela de Códigos e Valores'!$A:$M,5,FALSE)</f>
        <v>M2</v>
      </c>
      <c r="G17" s="176" t="str">
        <f>VLOOKUP($A17,'Tabela de Códigos e Valores'!$A:$M,6,FALSE)</f>
        <v>Trimestral</v>
      </c>
      <c r="H17" s="239">
        <f>SUMIFS('Relatório Custo'!$K:$K,'Relatório Custo'!$E:$E,$A17,'Relatório Custo'!$C:$C,'Custo  Resumido por local'!$C$1)</f>
        <v>1</v>
      </c>
      <c r="I17" s="78">
        <f>IF(F17="Posto",SUMIFS('Relatório Custo'!$Z:$Z,'Relatório Custo'!$E:$E,$A17,'Relatório Custo'!$C:$C,'Custo  Resumido por local'!$C$1),0)</f>
        <v>0</v>
      </c>
      <c r="J17" s="78">
        <f>SUMIFS('Relatório Custo'!$V:$V,'Relatório Custo'!$E:$E,$A17,'Relatório Custo'!$C:$C,'Custo  Resumido por local'!$C$1)</f>
        <v>2.87</v>
      </c>
      <c r="K17" s="78">
        <f>SUMIFS('Relatório Custo'!$X:$X,'Relatório Custo'!$E:$E,$A17,'Relatório Custo'!$C:$C,'Custo  Resumido por local'!$C$1)</f>
        <v>28.700000000000003</v>
      </c>
      <c r="L17" s="79"/>
      <c r="M17" s="79"/>
    </row>
    <row r="18" spans="1:193" ht="14.45" customHeight="1" x14ac:dyDescent="0.25">
      <c r="A18" s="77">
        <v>690022</v>
      </c>
      <c r="B18" s="460" t="str">
        <f>VLOOKUP(A18,'Tabela de Códigos e Valores'!A:B,2,FALSE)</f>
        <v>Auxiliar de limpeza área médica - diurno - 44 horas semanais</v>
      </c>
      <c r="C18" s="461"/>
      <c r="D18" s="461"/>
      <c r="E18" s="462"/>
      <c r="F18" s="176" t="str">
        <f>VLOOKUP($A18,'Tabela de Códigos e Valores'!$A:$M,5,FALSE)</f>
        <v>Posto</v>
      </c>
      <c r="G18" s="176" t="str">
        <f>VLOOKUP($A18,'Tabela de Códigos e Valores'!$A:$M,6,FALSE)</f>
        <v>Mensal</v>
      </c>
      <c r="H18" s="239">
        <f>SUMIFS('Relatório Custo'!$K:$K,'Relatório Custo'!$E:$E,$A18,'Relatório Custo'!$C:$C,'Custo  Resumido por local'!$C$1)</f>
        <v>1</v>
      </c>
      <c r="I18" s="78">
        <f>IF(F18="Posto",SUMIFS('Relatório Custo'!$Z:$Z,'Relatório Custo'!$E:$E,$A18,'Relatório Custo'!$C:$C,'Custo  Resumido por local'!$C$1),0)</f>
        <v>2020.8000000000002</v>
      </c>
      <c r="J18" s="78">
        <f>SUMIFS('Relatório Custo'!$V:$V,'Relatório Custo'!$E:$E,$A18,'Relatório Custo'!$C:$C,'Custo  Resumido por local'!$C$1)</f>
        <v>6506.66</v>
      </c>
      <c r="K18" s="78">
        <f>SUMIFS('Relatório Custo'!$X:$X,'Relatório Custo'!$E:$E,$A18,'Relatório Custo'!$C:$C,'Custo  Resumido por local'!$C$1)</f>
        <v>195199.8</v>
      </c>
      <c r="L18" s="79"/>
      <c r="M18" s="79"/>
    </row>
    <row r="19" spans="1:193" x14ac:dyDescent="0.25">
      <c r="A19" s="77">
        <v>690025</v>
      </c>
      <c r="B19" s="460" t="str">
        <f>VLOOKUP(A19,'Tabela de Códigos e Valores'!A:B,2,FALSE)</f>
        <v>Serviço de limpeza - plantonista - sábado (5 horas)</v>
      </c>
      <c r="C19" s="461"/>
      <c r="D19" s="461"/>
      <c r="E19" s="462"/>
      <c r="F19" s="176" t="str">
        <f>VLOOKUP($A19,'Tabela de Códigos e Valores'!$A:$M,5,FALSE)</f>
        <v>Plantão - Sábado</v>
      </c>
      <c r="G19" s="176" t="str">
        <f>VLOOKUP($A19,'Tabela de Códigos e Valores'!$A:$M,6,FALSE)</f>
        <v>Mensal</v>
      </c>
      <c r="H19" s="239">
        <f>SUMIFS('Relatório Custo'!$K:$K,'Relatório Custo'!$E:$E,$A19,'Relatório Custo'!$C:$C,'Custo  Resumido por local'!$C$1)</f>
        <v>1</v>
      </c>
      <c r="I19" s="78">
        <f>IF(F19="Posto",SUMIFS('Relatório Custo'!$Z:$Z,'Relatório Custo'!$E:$E,$A19,'Relatório Custo'!$C:$C,'Custo  Resumido por local'!$C$1),0)</f>
        <v>0</v>
      </c>
      <c r="J19" s="78">
        <f>SUMIFS('Relatório Custo'!$V:$V,'Relatório Custo'!$E:$E,$A19,'Relatório Custo'!$C:$C,'Custo  Resumido por local'!$C$1)</f>
        <v>869.27</v>
      </c>
      <c r="K19" s="78">
        <f>SUMIFS('Relatório Custo'!$X:$X,'Relatório Custo'!$E:$E,$A19,'Relatório Custo'!$C:$C,'Custo  Resumido por local'!$C$1)</f>
        <v>26078.1</v>
      </c>
      <c r="L19" s="79"/>
      <c r="M19" s="79"/>
    </row>
    <row r="20" spans="1:193" x14ac:dyDescent="0.25">
      <c r="A20" s="77">
        <v>690026</v>
      </c>
      <c r="B20" s="460" t="str">
        <f>VLOOKUP(A20,'Tabela de Códigos e Valores'!A:B,2,FALSE)</f>
        <v>Copeiro(a) - diurno - 44 horas semanais</v>
      </c>
      <c r="C20" s="461"/>
      <c r="D20" s="461"/>
      <c r="E20" s="462"/>
      <c r="F20" s="176" t="str">
        <f>VLOOKUP($A20,'Tabela de Códigos e Valores'!$A:$M,5,FALSE)</f>
        <v>Posto</v>
      </c>
      <c r="G20" s="176" t="str">
        <f>VLOOKUP($A20,'Tabela de Códigos e Valores'!$A:$M,6,FALSE)</f>
        <v>Mensal</v>
      </c>
      <c r="H20" s="239">
        <f>SUMIFS('Relatório Custo'!$K:$K,'Relatório Custo'!$E:$E,$A20,'Relatório Custo'!$C:$C,'Custo  Resumido por local'!$C$1)</f>
        <v>1</v>
      </c>
      <c r="I20" s="78">
        <f>IF(F20="Posto",SUMIFS('Relatório Custo'!$Z:$Z,'Relatório Custo'!$E:$E,$A20,'Relatório Custo'!$C:$C,'Custo  Resumido por local'!$C$1),0)</f>
        <v>1729.04</v>
      </c>
      <c r="J20" s="78">
        <f>SUMIFS('Relatório Custo'!$V:$V,'Relatório Custo'!$E:$E,$A20,'Relatório Custo'!$C:$C,'Custo  Resumido por local'!$C$1)</f>
        <v>5042.7700000000004</v>
      </c>
      <c r="K20" s="78">
        <f>SUMIFS('Relatório Custo'!$X:$X,'Relatório Custo'!$E:$E,$A20,'Relatório Custo'!$C:$C,'Custo  Resumido por local'!$C$1)</f>
        <v>151283.1</v>
      </c>
      <c r="L20" s="79"/>
      <c r="M20" s="79"/>
    </row>
    <row r="21" spans="1:193" x14ac:dyDescent="0.25">
      <c r="A21" s="77">
        <v>690028</v>
      </c>
      <c r="B21" s="460" t="str">
        <f>VLOOKUP(A21,'Tabela de Códigos e Valores'!A:B,2,FALSE)</f>
        <v>Supervisor(a) de limpeza - diurno - 44 horas semanais</v>
      </c>
      <c r="C21" s="461"/>
      <c r="D21" s="461"/>
      <c r="E21" s="462"/>
      <c r="F21" s="176" t="str">
        <f>VLOOKUP($A21,'Tabela de Códigos e Valores'!$A:$M,5,FALSE)</f>
        <v>Posto</v>
      </c>
      <c r="G21" s="176" t="str">
        <f>VLOOKUP($A21,'Tabela de Códigos e Valores'!$A:$M,6,FALSE)</f>
        <v>Mensal</v>
      </c>
      <c r="H21" s="239">
        <f>SUMIFS('Relatório Custo'!$K:$K,'Relatório Custo'!$E:$E,$A21,'Relatório Custo'!$C:$C,'Custo  Resumido por local'!$C$1)</f>
        <v>1</v>
      </c>
      <c r="I21" s="78">
        <f>IF(F21="Posto",SUMIFS('Relatório Custo'!$Z:$Z,'Relatório Custo'!$E:$E,$A21,'Relatório Custo'!$C:$C,'Custo  Resumido por local'!$C$1),0)</f>
        <v>2444.29</v>
      </c>
      <c r="J21" s="78">
        <f>SUMIFS('Relatório Custo'!$V:$V,'Relatório Custo'!$E:$E,$A21,'Relatório Custo'!$C:$C,'Custo  Resumido por local'!$C$1)</f>
        <v>6645.41</v>
      </c>
      <c r="K21" s="78">
        <f>SUMIFS('Relatório Custo'!$X:$X,'Relatório Custo'!$E:$E,$A21,'Relatório Custo'!$C:$C,'Custo  Resumido por local'!$C$1)</f>
        <v>199362.3</v>
      </c>
      <c r="L21" s="79"/>
      <c r="M21" s="79"/>
    </row>
    <row r="22" spans="1:193" ht="14.45" customHeight="1" x14ac:dyDescent="0.25">
      <c r="A22" s="77">
        <v>690029</v>
      </c>
      <c r="B22" s="460" t="str">
        <f>VLOOKUP(A22,'Tabela de Códigos e Valores'!A:B,2,FALSE)</f>
        <v>Serviço de limpeza de vidros sem exposição à situação de risco</v>
      </c>
      <c r="C22" s="461"/>
      <c r="D22" s="461"/>
      <c r="E22" s="462"/>
      <c r="F22" s="176" t="str">
        <f>VLOOKUP($A22,'Tabela de Códigos e Valores'!$A:$M,5,FALSE)</f>
        <v>M2</v>
      </c>
      <c r="G22" s="176" t="str">
        <f>VLOOKUP($A22,'Tabela de Códigos e Valores'!$A:$M,6,FALSE)</f>
        <v>Trimestral</v>
      </c>
      <c r="H22" s="239">
        <f>SUMIFS('Relatório Custo'!$K:$K,'Relatório Custo'!$E:$E,$A22,'Relatório Custo'!$C:$C,'Custo  Resumido por local'!$C$1)</f>
        <v>1</v>
      </c>
      <c r="I22" s="78">
        <f>IF(F22="Posto",SUMIFS('Relatório Custo'!$Z:$Z,'Relatório Custo'!$E:$E,$A22,'Relatório Custo'!$C:$C,'Custo  Resumido por local'!$C$1),0)</f>
        <v>0</v>
      </c>
      <c r="J22" s="78">
        <f>SUMIFS('Relatório Custo'!$V:$V,'Relatório Custo'!$E:$E,$A22,'Relatório Custo'!$C:$C,'Custo  Resumido por local'!$C$1)</f>
        <v>2.25</v>
      </c>
      <c r="K22" s="78">
        <f>SUMIFS('Relatório Custo'!$X:$X,'Relatório Custo'!$E:$E,$A22,'Relatório Custo'!$C:$C,'Custo  Resumido por local'!$C$1)</f>
        <v>22.5</v>
      </c>
      <c r="L22" s="79"/>
      <c r="M22" s="79"/>
    </row>
    <row r="23" spans="1:193" x14ac:dyDescent="0.25">
      <c r="A23" s="77">
        <v>690030</v>
      </c>
      <c r="B23" s="460" t="str">
        <f>VLOOKUP(A23,'Tabela de Códigos e Valores'!A:B,2,FALSE)</f>
        <v>Serviço de encarregado - plantonista - sábado</v>
      </c>
      <c r="C23" s="461"/>
      <c r="D23" s="461"/>
      <c r="E23" s="462"/>
      <c r="F23" s="176" t="str">
        <f>VLOOKUP($A23,'Tabela de Códigos e Valores'!$A:$M,5,FALSE)</f>
        <v>Plantão - Sábado</v>
      </c>
      <c r="G23" s="176" t="str">
        <f>VLOOKUP($A23,'Tabela de Códigos e Valores'!$A:$M,6,FALSE)</f>
        <v>Mensal</v>
      </c>
      <c r="H23" s="239">
        <f>SUMIFS('Relatório Custo'!$K:$K,'Relatório Custo'!$E:$E,$A23,'Relatório Custo'!$C:$C,'Custo  Resumido por local'!$C$1)</f>
        <v>1</v>
      </c>
      <c r="I23" s="78">
        <f>IF(F23="Posto",SUMIFS('Relatório Custo'!$Z:$Z,'Relatório Custo'!$E:$E,$A23,'Relatório Custo'!$C:$C,'Custo  Resumido por local'!$C$1),0)</f>
        <v>0</v>
      </c>
      <c r="J23" s="78">
        <f>SUMIFS('Relatório Custo'!$V:$V,'Relatório Custo'!$E:$E,$A23,'Relatório Custo'!$C:$C,'Custo  Resumido por local'!$C$1)</f>
        <v>1077.06</v>
      </c>
      <c r="K23" s="78">
        <f>SUMIFS('Relatório Custo'!$X:$X,'Relatório Custo'!$E:$E,$A23,'Relatório Custo'!$C:$C,'Custo  Resumido por local'!$C$1)</f>
        <v>32311.8</v>
      </c>
      <c r="L23" s="79"/>
      <c r="M23" s="79"/>
    </row>
    <row r="24" spans="1:193" x14ac:dyDescent="0.25">
      <c r="A24" s="77">
        <v>690031</v>
      </c>
      <c r="B24" s="460" t="str">
        <f>VLOOKUP(A24,'Tabela de Códigos e Valores'!A:B,2,FALSE)</f>
        <v>Serviço de encarregado - plantonista - domingos e feriados</v>
      </c>
      <c r="C24" s="461"/>
      <c r="D24" s="461"/>
      <c r="E24" s="462"/>
      <c r="F24" s="176" t="str">
        <f>VLOOKUP($A24,'Tabela de Códigos e Valores'!$A:$M,5,FALSE)</f>
        <v>Plantão - Dom/Fer</v>
      </c>
      <c r="G24" s="176" t="str">
        <f>VLOOKUP($A24,'Tabela de Códigos e Valores'!$A:$M,6,FALSE)</f>
        <v>Mensal</v>
      </c>
      <c r="H24" s="239">
        <f>SUMIFS('Relatório Custo'!$K:$K,'Relatório Custo'!$E:$E,$A24,'Relatório Custo'!$C:$C,'Custo  Resumido por local'!$C$1)</f>
        <v>1</v>
      </c>
      <c r="I24" s="78">
        <f>IF(F24="Posto",SUMIFS('Relatório Custo'!$Z:$Z,'Relatório Custo'!$E:$E,$A24,'Relatório Custo'!$C:$C,'Custo  Resumido por local'!$C$1),0)</f>
        <v>0</v>
      </c>
      <c r="J24" s="78">
        <f>SUMIFS('Relatório Custo'!$V:$V,'Relatório Custo'!$E:$E,$A24,'Relatório Custo'!$C:$C,'Custo  Resumido por local'!$C$1)</f>
        <v>1644.96</v>
      </c>
      <c r="K24" s="78">
        <f>SUMIFS('Relatório Custo'!$X:$X,'Relatório Custo'!$E:$E,$A24,'Relatório Custo'!$C:$C,'Custo  Resumido por local'!$C$1)</f>
        <v>49348.800000000003</v>
      </c>
      <c r="L24" s="79"/>
      <c r="M24" s="79"/>
    </row>
    <row r="25" spans="1:193" ht="14.45" customHeight="1" x14ac:dyDescent="0.25">
      <c r="A25" s="77">
        <v>690032</v>
      </c>
      <c r="B25" s="460" t="str">
        <f>VLOOKUP(A25,'Tabela de Códigos e Valores'!A:B,2,FALSE)</f>
        <v>Auxiliar de limpeza - diurno - 44 horas semanais (segunda a sábado)</v>
      </c>
      <c r="C25" s="461"/>
      <c r="D25" s="461"/>
      <c r="E25" s="462"/>
      <c r="F25" s="176" t="str">
        <f>VLOOKUP($A25,'Tabela de Códigos e Valores'!$A:$M,5,FALSE)</f>
        <v>Posto</v>
      </c>
      <c r="G25" s="176" t="str">
        <f>VLOOKUP($A25,'Tabela de Códigos e Valores'!$A:$M,6,FALSE)</f>
        <v>Mensal</v>
      </c>
      <c r="H25" s="239">
        <f>SUMIFS('Relatório Custo'!$K:$K,'Relatório Custo'!$E:$E,$A25,'Relatório Custo'!$C:$C,'Custo  Resumido por local'!$C$1)</f>
        <v>1</v>
      </c>
      <c r="I25" s="78">
        <f>IF(F25="Posto",SUMIFS('Relatório Custo'!$Z:$Z,'Relatório Custo'!$E:$E,$A25,'Relatório Custo'!$C:$C,'Custo  Resumido por local'!$C$1),0)</f>
        <v>1717.2</v>
      </c>
      <c r="J25" s="78">
        <f>SUMIFS('Relatório Custo'!$V:$V,'Relatório Custo'!$E:$E,$A25,'Relatório Custo'!$C:$C,'Custo  Resumido por local'!$C$1)</f>
        <v>5893.53</v>
      </c>
      <c r="K25" s="78">
        <f>SUMIFS('Relatório Custo'!$X:$X,'Relatório Custo'!$E:$E,$A25,'Relatório Custo'!$C:$C,'Custo  Resumido por local'!$C$1)</f>
        <v>176805.9</v>
      </c>
      <c r="L25" s="79"/>
      <c r="M25" s="79"/>
    </row>
    <row r="26" spans="1:193" s="86" customFormat="1" x14ac:dyDescent="0.25">
      <c r="A26" s="77">
        <v>690033</v>
      </c>
      <c r="B26" s="460" t="str">
        <f>VLOOKUP(A26,'Tabela de Códigos e Valores'!A:B,2,FALSE)</f>
        <v>Serviço de limpeza - plantonista - recesso judiciário (5 horas)</v>
      </c>
      <c r="C26" s="461"/>
      <c r="D26" s="461"/>
      <c r="E26" s="462"/>
      <c r="F26" s="176" t="str">
        <f>VLOOKUP($A26,'Tabela de Códigos e Valores'!$A:$M,5,FALSE)</f>
        <v>Plantão - Recesso</v>
      </c>
      <c r="G26" s="176" t="str">
        <f>VLOOKUP($A26,'Tabela de Códigos e Valores'!$A:$M,6,FALSE)</f>
        <v>Anual</v>
      </c>
      <c r="H26" s="239">
        <f>SUMIFS('Relatório Custo'!$K:$K,'Relatório Custo'!$E:$E,$A26,'Relatório Custo'!$C:$C,'Custo  Resumido por local'!$C$1)</f>
        <v>1</v>
      </c>
      <c r="I26" s="78">
        <f>IF(F26="Posto",SUMIFS('Relatório Custo'!$Z:$Z,'Relatório Custo'!$E:$E,$A26,'Relatório Custo'!$C:$C,'Custo  Resumido por local'!$C$1),0)</f>
        <v>0</v>
      </c>
      <c r="J26" s="78">
        <f>SUMIFS('Relatório Custo'!$V:$V,'Relatório Custo'!$E:$E,$A26,'Relatório Custo'!$C:$C,'Custo  Resumido por local'!$C$1)</f>
        <v>1312.25</v>
      </c>
      <c r="K26" s="78">
        <f>SUMIFS('Relatório Custo'!$X:$X,'Relatório Custo'!$E:$E,$A26,'Relatório Custo'!$C:$C,'Custo  Resumido por local'!$C$1)</f>
        <v>2624.5</v>
      </c>
      <c r="L26" s="84"/>
      <c r="M26" s="84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  <c r="CA26" s="85"/>
      <c r="CB26" s="85"/>
      <c r="CC26" s="85"/>
      <c r="CD26" s="85"/>
      <c r="CE26" s="85"/>
      <c r="CF26" s="85"/>
      <c r="CG26" s="85"/>
      <c r="CH26" s="85"/>
      <c r="CI26" s="85"/>
      <c r="CJ26" s="85"/>
      <c r="CK26" s="85"/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5"/>
      <c r="CZ26" s="85"/>
      <c r="DA26" s="85"/>
      <c r="DB26" s="85"/>
      <c r="DC26" s="85"/>
      <c r="DD26" s="85"/>
      <c r="DE26" s="85"/>
      <c r="DF26" s="85"/>
      <c r="DG26" s="85"/>
      <c r="DH26" s="85"/>
      <c r="DI26" s="85"/>
      <c r="DJ26" s="85"/>
      <c r="DK26" s="85"/>
      <c r="DL26" s="85"/>
      <c r="DM26" s="85"/>
      <c r="DN26" s="85"/>
      <c r="DO26" s="85"/>
      <c r="DP26" s="85"/>
      <c r="DQ26" s="85"/>
      <c r="DR26" s="85"/>
      <c r="DS26" s="85"/>
      <c r="DT26" s="85"/>
      <c r="DU26" s="85"/>
      <c r="DV26" s="85"/>
      <c r="DW26" s="85"/>
      <c r="DX26" s="85"/>
      <c r="DY26" s="85"/>
      <c r="DZ26" s="85"/>
      <c r="EA26" s="85"/>
      <c r="EB26" s="85"/>
      <c r="EC26" s="85"/>
      <c r="ED26" s="85"/>
      <c r="EE26" s="85"/>
      <c r="EF26" s="85"/>
      <c r="EG26" s="85"/>
      <c r="EH26" s="85"/>
      <c r="EI26" s="85"/>
      <c r="EJ26" s="85"/>
      <c r="EK26" s="85"/>
      <c r="EL26" s="85"/>
      <c r="EM26" s="85"/>
      <c r="EN26" s="85"/>
      <c r="EO26" s="85"/>
      <c r="EP26" s="85"/>
      <c r="EQ26" s="85"/>
      <c r="ER26" s="85"/>
      <c r="ES26" s="85"/>
      <c r="ET26" s="85"/>
      <c r="EU26" s="85"/>
      <c r="EV26" s="85"/>
      <c r="EW26" s="85"/>
      <c r="EX26" s="85"/>
      <c r="EY26" s="85"/>
      <c r="EZ26" s="85"/>
      <c r="FA26" s="85"/>
      <c r="FB26" s="85"/>
      <c r="FC26" s="85"/>
      <c r="FD26" s="85"/>
      <c r="FE26" s="85"/>
      <c r="FF26" s="85"/>
      <c r="FG26" s="85"/>
      <c r="FH26" s="85"/>
      <c r="FI26" s="85"/>
      <c r="FJ26" s="85"/>
      <c r="FK26" s="85"/>
      <c r="FL26" s="85"/>
      <c r="FM26" s="85"/>
      <c r="FN26" s="85"/>
      <c r="FO26" s="85"/>
      <c r="FP26" s="85"/>
      <c r="FQ26" s="85"/>
      <c r="FR26" s="85"/>
      <c r="FS26" s="85"/>
      <c r="FT26" s="85"/>
      <c r="FU26" s="85"/>
      <c r="FV26" s="85"/>
      <c r="FW26" s="85"/>
      <c r="FX26" s="85"/>
      <c r="FY26" s="85"/>
      <c r="FZ26" s="85"/>
      <c r="GA26" s="85"/>
      <c r="GB26" s="85"/>
      <c r="GC26" s="85"/>
      <c r="GD26" s="85"/>
      <c r="GE26" s="85"/>
      <c r="GF26" s="85"/>
      <c r="GG26" s="85"/>
      <c r="GH26" s="85"/>
      <c r="GI26" s="85"/>
      <c r="GJ26" s="85"/>
      <c r="GK26" s="85"/>
    </row>
    <row r="27" spans="1:193" s="83" customFormat="1" x14ac:dyDescent="0.25">
      <c r="A27" s="77">
        <v>690035</v>
      </c>
      <c r="B27" s="460" t="str">
        <f>VLOOKUP(A27,'Tabela de Códigos e Valores'!A:B,2,FALSE)</f>
        <v>Copeiro(a) - diurno - 24 horas semanais</v>
      </c>
      <c r="C27" s="461"/>
      <c r="D27" s="461"/>
      <c r="E27" s="462"/>
      <c r="F27" s="176" t="str">
        <f>VLOOKUP($A27,'Tabela de Códigos e Valores'!$A:$M,5,FALSE)</f>
        <v>Posto</v>
      </c>
      <c r="G27" s="176" t="str">
        <f>VLOOKUP($A27,'Tabela de Códigos e Valores'!$A:$M,6,FALSE)</f>
        <v>Mensal</v>
      </c>
      <c r="H27" s="239">
        <f>SUMIFS('Relatório Custo'!$K:$K,'Relatório Custo'!$E:$E,$A27,'Relatório Custo'!$C:$C,'Custo  Resumido por local'!$C$1)</f>
        <v>1</v>
      </c>
      <c r="I27" s="78">
        <f>IF(F27="Posto",SUMIFS('Relatório Custo'!$Z:$Z,'Relatório Custo'!$E:$E,$A27,'Relatório Custo'!$C:$C,'Custo  Resumido por local'!$C$1),0)</f>
        <v>1037.42</v>
      </c>
      <c r="J27" s="78">
        <f>SUMIFS('Relatório Custo'!$V:$V,'Relatório Custo'!$E:$E,$A27,'Relatório Custo'!$C:$C,'Custo  Resumido por local'!$C$1)</f>
        <v>2980.05</v>
      </c>
      <c r="K27" s="78">
        <f>SUMIFS('Relatório Custo'!$X:$X,'Relatório Custo'!$E:$E,$A27,'Relatório Custo'!$C:$C,'Custo  Resumido por local'!$C$1)</f>
        <v>89401.5</v>
      </c>
      <c r="L27" s="81"/>
      <c r="M27" s="81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</row>
    <row r="28" spans="1:193" s="83" customFormat="1" ht="14.45" customHeight="1" x14ac:dyDescent="0.25">
      <c r="A28" s="77">
        <v>690037</v>
      </c>
      <c r="B28" s="460" t="str">
        <f>VLOOKUP(A28,'Tabela de Códigos e Valores'!A:B,2,FALSE)</f>
        <v>Agente de Higienização (Tempo Integral) - (40%) - 44 horas semanais</v>
      </c>
      <c r="C28" s="461"/>
      <c r="D28" s="461"/>
      <c r="E28" s="462"/>
      <c r="F28" s="176" t="str">
        <f>VLOOKUP($A28,'Tabela de Códigos e Valores'!$A:$M,5,FALSE)</f>
        <v>Posto</v>
      </c>
      <c r="G28" s="176" t="str">
        <f>VLOOKUP($A28,'Tabela de Códigos e Valores'!$A:$M,6,FALSE)</f>
        <v>Mensal</v>
      </c>
      <c r="H28" s="239">
        <f>SUMIFS('Relatório Custo'!$K:$K,'Relatório Custo'!$E:$E,$A28,'Relatório Custo'!$C:$C,'Custo  Resumido por local'!$C$1)</f>
        <v>1</v>
      </c>
      <c r="I28" s="78">
        <f>IF(F28="Posto",SUMIFS('Relatório Custo'!$Z:$Z,'Relatório Custo'!$E:$E,$A28,'Relatório Custo'!$C:$C,'Custo  Resumido por local'!$C$1),0)</f>
        <v>2324.4</v>
      </c>
      <c r="J28" s="78">
        <f>SUMIFS('Relatório Custo'!$V:$V,'Relatório Custo'!$E:$E,$A28,'Relatório Custo'!$C:$C,'Custo  Resumido por local'!$C$1)</f>
        <v>7287.34</v>
      </c>
      <c r="K28" s="78">
        <f>SUMIFS('Relatório Custo'!$X:$X,'Relatório Custo'!$E:$E,$A28,'Relatório Custo'!$C:$C,'Custo  Resumido por local'!$C$1)</f>
        <v>218620.2</v>
      </c>
      <c r="L28" s="81"/>
      <c r="M28" s="81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</row>
    <row r="29" spans="1:193" ht="14.45" customHeight="1" x14ac:dyDescent="0.25">
      <c r="A29" s="77">
        <v>690038</v>
      </c>
      <c r="B29" s="460" t="str">
        <f>VLOOKUP(A29,'Tabela de Códigos e Valores'!A:B,2,FALSE)</f>
        <v>Agente de Higienização (Tempo Integral) - (40%) - 24 horas semanais</v>
      </c>
      <c r="C29" s="461"/>
      <c r="D29" s="461"/>
      <c r="E29" s="462"/>
      <c r="F29" s="176" t="str">
        <f>VLOOKUP($A29,'Tabela de Códigos e Valores'!$A:$M,5,FALSE)</f>
        <v>Posto</v>
      </c>
      <c r="G29" s="176" t="str">
        <f>VLOOKUP($A29,'Tabela de Códigos e Valores'!$A:$M,6,FALSE)</f>
        <v>Mensal</v>
      </c>
      <c r="H29" s="239">
        <f>SUMIFS('Relatório Custo'!$K:$K,'Relatório Custo'!$E:$E,$A29,'Relatório Custo'!$C:$C,'Custo  Resumido por local'!$C$1)</f>
        <v>1</v>
      </c>
      <c r="I29" s="78">
        <f>IF(F29="Posto",SUMIFS('Relatório Custo'!$Z:$Z,'Relatório Custo'!$E:$E,$A29,'Relatório Custo'!$C:$C,'Custo  Resumido por local'!$C$1),0)</f>
        <v>1637.52</v>
      </c>
      <c r="J29" s="78">
        <f>SUMIFS('Relatório Custo'!$V:$V,'Relatório Custo'!$E:$E,$A29,'Relatório Custo'!$C:$C,'Custo  Resumido por local'!$C$1)</f>
        <v>4955.32</v>
      </c>
      <c r="K29" s="78">
        <f>SUMIFS('Relatório Custo'!$X:$X,'Relatório Custo'!$E:$E,$A29,'Relatório Custo'!$C:$C,'Custo  Resumido por local'!$C$1)</f>
        <v>148659.59999999998</v>
      </c>
      <c r="L29" s="79"/>
      <c r="M29" s="79"/>
    </row>
    <row r="30" spans="1:193" x14ac:dyDescent="0.25">
      <c r="A30" s="77">
        <v>690054</v>
      </c>
      <c r="B30" s="460" t="str">
        <f>VLOOKUP(A30,'Tabela de Códigos e Valores'!A:B,2,FALSE)</f>
        <v>Líder até 10 subordinados - diurno - 44 horas semanais</v>
      </c>
      <c r="C30" s="461"/>
      <c r="D30" s="461"/>
      <c r="E30" s="462"/>
      <c r="F30" s="176" t="str">
        <f>VLOOKUP($A30,'Tabela de Códigos e Valores'!$A:$M,5,FALSE)</f>
        <v>Posto</v>
      </c>
      <c r="G30" s="176" t="str">
        <f>VLOOKUP($A30,'Tabela de Códigos e Valores'!$A:$M,6,FALSE)</f>
        <v>Mensal</v>
      </c>
      <c r="H30" s="239">
        <f>SUMIFS('Relatório Custo'!$K:$K,'Relatório Custo'!$E:$E,$A30,'Relatório Custo'!$C:$C,'Custo  Resumido por local'!$C$1)</f>
        <v>1</v>
      </c>
      <c r="I30" s="78">
        <f>IF(F30="Posto",SUMIFS('Relatório Custo'!$Z:$Z,'Relatório Custo'!$E:$E,$A30,'Relatório Custo'!$C:$C,'Custo  Resumido por local'!$C$1),0)</f>
        <v>1872.8</v>
      </c>
      <c r="J30" s="78">
        <f>SUMIFS('Relatório Custo'!$V:$V,'Relatório Custo'!$E:$E,$A30,'Relatório Custo'!$C:$C,'Custo  Resumido por local'!$C$1)</f>
        <v>6108.47</v>
      </c>
      <c r="K30" s="78">
        <f>SUMIFS('Relatório Custo'!$X:$X,'Relatório Custo'!$E:$E,$A30,'Relatório Custo'!$C:$C,'Custo  Resumido por local'!$C$1)</f>
        <v>183254.1</v>
      </c>
      <c r="L30" s="79"/>
      <c r="M30" s="79"/>
    </row>
    <row r="31" spans="1:193" x14ac:dyDescent="0.25">
      <c r="A31" s="77">
        <v>690055</v>
      </c>
      <c r="B31" s="460" t="str">
        <f>VLOOKUP(A31,'Tabela de Códigos e Valores'!A:B,2,FALSE)</f>
        <v>Líder até 10 subordinados - noturno - 44 horas semanais</v>
      </c>
      <c r="C31" s="461"/>
      <c r="D31" s="461"/>
      <c r="E31" s="462"/>
      <c r="F31" s="176" t="str">
        <f>VLOOKUP($A31,'Tabela de Códigos e Valores'!$A:$M,5,FALSE)</f>
        <v>Posto</v>
      </c>
      <c r="G31" s="176" t="str">
        <f>VLOOKUP($A31,'Tabela de Códigos e Valores'!$A:$M,6,FALSE)</f>
        <v>Mensal</v>
      </c>
      <c r="H31" s="239">
        <f>SUMIFS('Relatório Custo'!$K:$K,'Relatório Custo'!$E:$E,$A31,'Relatório Custo'!$C:$C,'Custo  Resumido por local'!$C$1)</f>
        <v>1</v>
      </c>
      <c r="I31" s="78">
        <f>IF(F31="Posto",SUMIFS('Relatório Custo'!$Z:$Z,'Relatório Custo'!$E:$E,$A31,'Relatório Custo'!$C:$C,'Custo  Resumido por local'!$C$1),0)</f>
        <v>2271.19</v>
      </c>
      <c r="J31" s="78">
        <f>SUMIFS('Relatório Custo'!$V:$V,'Relatório Custo'!$E:$E,$A31,'Relatório Custo'!$C:$C,'Custo  Resumido por local'!$C$1)</f>
        <v>7149.59</v>
      </c>
      <c r="K31" s="78">
        <f>SUMIFS('Relatório Custo'!$X:$X,'Relatório Custo'!$E:$E,$A31,'Relatório Custo'!$C:$C,'Custo  Resumido por local'!$C$1)</f>
        <v>214487.7</v>
      </c>
      <c r="L31" s="79"/>
      <c r="M31" s="79"/>
    </row>
    <row r="32" spans="1:193" ht="14.45" customHeight="1" x14ac:dyDescent="0.25">
      <c r="A32" s="77">
        <v>690056</v>
      </c>
      <c r="B32" s="460" t="str">
        <f>VLOOKUP(A32,'Tabela de Códigos e Valores'!A:B,2,FALSE)</f>
        <v>Encarregado(a) 11 ou mais subordinados - diurno - 44 horas semanais</v>
      </c>
      <c r="C32" s="461"/>
      <c r="D32" s="461"/>
      <c r="E32" s="462"/>
      <c r="F32" s="176" t="str">
        <f>VLOOKUP($A32,'Tabela de Códigos e Valores'!$A:$M,5,FALSE)</f>
        <v>Posto</v>
      </c>
      <c r="G32" s="176" t="str">
        <f>VLOOKUP($A32,'Tabela de Códigos e Valores'!$A:$M,6,FALSE)</f>
        <v>Mensal</v>
      </c>
      <c r="H32" s="239">
        <f>SUMIFS('Relatório Custo'!$K:$K,'Relatório Custo'!$E:$E,$A32,'Relatório Custo'!$C:$C,'Custo  Resumido por local'!$C$1)</f>
        <v>1</v>
      </c>
      <c r="I32" s="78">
        <f>IF(F32="Posto",SUMIFS('Relatório Custo'!$Z:$Z,'Relatório Custo'!$E:$E,$A32,'Relatório Custo'!$C:$C,'Custo  Resumido por local'!$C$1),0)</f>
        <v>2247.37</v>
      </c>
      <c r="J32" s="78">
        <f>SUMIFS('Relatório Custo'!$V:$V,'Relatório Custo'!$E:$E,$A32,'Relatório Custo'!$C:$C,'Custo  Resumido por local'!$C$1)</f>
        <v>7054.34</v>
      </c>
      <c r="K32" s="78">
        <f>SUMIFS('Relatório Custo'!$X:$X,'Relatório Custo'!$E:$E,$A32,'Relatório Custo'!$C:$C,'Custo  Resumido por local'!$C$1)</f>
        <v>211630.2</v>
      </c>
      <c r="L32" s="79"/>
      <c r="M32" s="79"/>
    </row>
    <row r="33" spans="1:15" ht="14.45" customHeight="1" x14ac:dyDescent="0.25">
      <c r="A33" s="77">
        <v>690057</v>
      </c>
      <c r="B33" s="290" t="str">
        <f>VLOOKUP(A33,'Tabela de Códigos e Valores'!A:B,2,FALSE)</f>
        <v>Encarregado(a) 11 ou mais subordinados - noturno - 44 horas semanais</v>
      </c>
      <c r="C33" s="291"/>
      <c r="D33" s="291"/>
      <c r="E33" s="292"/>
      <c r="F33" s="176" t="str">
        <f>VLOOKUP($A33,'Tabela de Códigos e Valores'!$A:$M,5,FALSE)</f>
        <v>Posto</v>
      </c>
      <c r="G33" s="176" t="str">
        <f>VLOOKUP($A33,'Tabela de Códigos e Valores'!$A:$M,6,FALSE)</f>
        <v>Mensal</v>
      </c>
      <c r="H33" s="239">
        <f>SUMIFS('Relatório Custo'!$K:$K,'Relatório Custo'!$E:$E,$A33,'Relatório Custo'!$C:$C,'Custo  Resumido por local'!$C$1)</f>
        <v>1</v>
      </c>
      <c r="I33" s="78">
        <f>IF(F33="Posto",SUMIFS('Relatório Custo'!$Z:$Z,'Relatório Custo'!$E:$E,$A33,'Relatório Custo'!$C:$C,'Custo  Resumido por local'!$C$1),0)</f>
        <v>2725.45</v>
      </c>
      <c r="J33" s="78">
        <f>SUMIFS('Relatório Custo'!$V:$V,'Relatório Custo'!$E:$E,$A33,'Relatório Custo'!$C:$C,'Custo  Resumido por local'!$C$1)</f>
        <v>8303.74</v>
      </c>
      <c r="K33" s="78">
        <f>SUMIFS('Relatório Custo'!$X:$X,'Relatório Custo'!$E:$E,$A33,'Relatório Custo'!$C:$C,'Custo  Resumido por local'!$C$1)</f>
        <v>249112.19999999998</v>
      </c>
      <c r="L33" s="79"/>
      <c r="M33" s="79"/>
    </row>
    <row r="34" spans="1:15" ht="22.5" x14ac:dyDescent="0.25">
      <c r="A34" s="77">
        <v>690058</v>
      </c>
      <c r="B34" s="290" t="str">
        <f>VLOOKUP(A34,'Tabela de Códigos e Valores'!A:B,2,FALSE)</f>
        <v>Serviço de limpeza - plantonista - (Agente de Higienização - 40%) - sábado - 8 horas/dia</v>
      </c>
      <c r="C34" s="291"/>
      <c r="D34" s="291"/>
      <c r="E34" s="292"/>
      <c r="F34" s="176" t="str">
        <f>VLOOKUP($A34,'Tabela de Códigos e Valores'!$A:$M,5,FALSE)</f>
        <v>Plantão - Sábado</v>
      </c>
      <c r="G34" s="176" t="str">
        <f>VLOOKUP($A34,'Tabela de Códigos e Valores'!$A:$M,6,FALSE)</f>
        <v>Mensal</v>
      </c>
      <c r="H34" s="239">
        <f>SUMIFS('Relatório Custo'!$K:$K,'Relatório Custo'!$E:$E,$A34,'Relatório Custo'!$C:$C,'Custo  Resumido por local'!$C$1)</f>
        <v>1</v>
      </c>
      <c r="I34" s="78">
        <f>IF(F34="Posto",SUMIFS('Relatório Custo'!$Z:$Z,'Relatório Custo'!$E:$E,$A34,'Relatório Custo'!$C:$C,'Custo  Resumido por local'!$C$1),0)</f>
        <v>0</v>
      </c>
      <c r="J34" s="78">
        <f>SUMIFS('Relatório Custo'!$V:$V,'Relatório Custo'!$E:$E,$A34,'Relatório Custo'!$C:$C,'Custo  Resumido por local'!$C$1)</f>
        <v>1654.2</v>
      </c>
      <c r="K34" s="78">
        <f>SUMIFS('Relatório Custo'!$X:$X,'Relatório Custo'!$E:$E,$A34,'Relatório Custo'!$C:$C,'Custo  Resumido por local'!$C$1)</f>
        <v>49626</v>
      </c>
      <c r="L34" s="79"/>
      <c r="M34" s="79"/>
    </row>
    <row r="35" spans="1:15" ht="22.5" x14ac:dyDescent="0.25">
      <c r="A35" s="77">
        <v>690059</v>
      </c>
      <c r="B35" s="290" t="str">
        <f>VLOOKUP(A35,'Tabela de Códigos e Valores'!A:B,2,FALSE)</f>
        <v>Serviço de limpeza - plantonista - (Agente de Higienização - 40%) - domingos e feriados - 8 horas/dia</v>
      </c>
      <c r="C35" s="291"/>
      <c r="D35" s="291"/>
      <c r="E35" s="292"/>
      <c r="F35" s="176" t="str">
        <f>VLOOKUP($A35,'Tabela de Códigos e Valores'!$A:$M,5,FALSE)</f>
        <v>Plantão - Dom/Fer</v>
      </c>
      <c r="G35" s="176" t="str">
        <f>VLOOKUP($A35,'Tabela de Códigos e Valores'!$A:$M,6,FALSE)</f>
        <v>Mensal</v>
      </c>
      <c r="H35" s="239">
        <f>SUMIFS('Relatório Custo'!$K:$K,'Relatório Custo'!$E:$E,$A35,'Relatório Custo'!$C:$C,'Custo  Resumido por local'!$C$1)</f>
        <v>1</v>
      </c>
      <c r="I35" s="78">
        <f>IF(F35="Posto",SUMIFS('Relatório Custo'!$Z:$Z,'Relatório Custo'!$E:$E,$A35,'Relatório Custo'!$C:$C,'Custo  Resumido por local'!$C$1),0)</f>
        <v>0</v>
      </c>
      <c r="J35" s="78">
        <f>SUMIFS('Relatório Custo'!$V:$V,'Relatório Custo'!$E:$E,$A35,'Relatório Custo'!$C:$C,'Custo  Resumido por local'!$C$1)</f>
        <v>2567.65</v>
      </c>
      <c r="K35" s="78">
        <f>SUMIFS('Relatório Custo'!$X:$X,'Relatório Custo'!$E:$E,$A35,'Relatório Custo'!$C:$C,'Custo  Resumido por local'!$C$1)</f>
        <v>77029.5</v>
      </c>
      <c r="L35" s="79"/>
      <c r="M35" s="79"/>
    </row>
    <row r="36" spans="1:15" x14ac:dyDescent="0.25">
      <c r="A36" s="77">
        <v>690062</v>
      </c>
      <c r="B36" s="460" t="str">
        <f>VLOOKUP(A36,'Tabela de Códigos e Valores'!A:B,2,FALSE)</f>
        <v>Agente de Higienização (Tempo Integral) - (40%) - 44 horas semanais - noturno</v>
      </c>
      <c r="C36" s="461"/>
      <c r="D36" s="461"/>
      <c r="E36" s="462"/>
      <c r="F36" s="176" t="str">
        <f>VLOOKUP($A36,'Tabela de Códigos e Valores'!$A:$M,5,FALSE)</f>
        <v>Posto</v>
      </c>
      <c r="G36" s="176" t="str">
        <f>VLOOKUP($A36,'Tabela de Códigos e Valores'!$A:$M,6,FALSE)</f>
        <v>Mensal</v>
      </c>
      <c r="H36" s="239">
        <f>SUMIFS('Relatório Custo'!$K:$K,'Relatório Custo'!$E:$E,$A36,'Relatório Custo'!$C:$C,'Custo  Resumido por local'!$C$1)</f>
        <v>1</v>
      </c>
      <c r="I36" s="78">
        <f>IF(F36="Posto",SUMIFS('Relatório Custo'!$Z:$Z,'Relatório Custo'!$E:$E,$A36,'Relatório Custo'!$C:$C,'Custo  Resumido por local'!$C$1),0)</f>
        <v>2818.8599999999997</v>
      </c>
      <c r="J36" s="78">
        <f>SUMIFS('Relatório Custo'!$V:$V,'Relatório Custo'!$E:$E,$A36,'Relatório Custo'!$C:$C,'Custo  Resumido por local'!$C$1)</f>
        <v>8579.5400000000009</v>
      </c>
      <c r="K36" s="78">
        <f>SUMIFS('Relatório Custo'!$X:$X,'Relatório Custo'!$E:$E,$A36,'Relatório Custo'!$C:$C,'Custo  Resumido por local'!$C$1)</f>
        <v>257386.2</v>
      </c>
      <c r="L36" s="79"/>
      <c r="M36" s="79"/>
    </row>
    <row r="37" spans="1:15" x14ac:dyDescent="0.25">
      <c r="A37" s="77">
        <v>690063</v>
      </c>
      <c r="B37" s="460" t="str">
        <f>VLOOKUP(A37,'Tabela de Códigos e Valores'!A:B,2,FALSE)</f>
        <v xml:space="preserve">Auxiliar de Limpeza, com adicional de acúmulo de função - diurno - 44 horas semanais </v>
      </c>
      <c r="C37" s="461"/>
      <c r="D37" s="461"/>
      <c r="E37" s="462"/>
      <c r="F37" s="176" t="str">
        <f>VLOOKUP($A37,'Tabela de Códigos e Valores'!$A:$M,5,FALSE)</f>
        <v>Posto</v>
      </c>
      <c r="G37" s="176" t="str">
        <f>VLOOKUP($A37,'Tabela de Códigos e Valores'!$A:$M,6,FALSE)</f>
        <v>Mensal</v>
      </c>
      <c r="H37" s="239">
        <f>SUMIFS('Relatório Custo'!$K:$K,'Relatório Custo'!$E:$E,$A37,'Relatório Custo'!$C:$C,'Custo  Resumido por local'!$C$1)</f>
        <v>1</v>
      </c>
      <c r="I37" s="78">
        <f>IF(F37="Posto",SUMIFS('Relatório Custo'!$Z:$Z,'Relatório Custo'!$E:$E,$A37,'Relatório Custo'!$C:$C,'Custo  Resumido por local'!$C$1),0)</f>
        <v>2060.64</v>
      </c>
      <c r="J37" s="78">
        <f>SUMIFS('Relatório Custo'!$V:$V,'Relatório Custo'!$E:$E,$A37,'Relatório Custo'!$C:$C,'Custo  Resumido por local'!$C$1)</f>
        <v>6598.05</v>
      </c>
      <c r="K37" s="78">
        <f>SUMIFS('Relatório Custo'!$X:$X,'Relatório Custo'!$E:$E,$A37,'Relatório Custo'!$C:$C,'Custo  Resumido por local'!$C$1)</f>
        <v>197941.5</v>
      </c>
      <c r="L37" s="79"/>
      <c r="M37" s="79"/>
    </row>
    <row r="38" spans="1:15" ht="15" customHeight="1" x14ac:dyDescent="0.25">
      <c r="A38" s="77">
        <v>690064</v>
      </c>
      <c r="B38" s="460" t="str">
        <f>VLOOKUP(A38,'Tabela de Códigos e Valores'!A:B,2,FALSE)</f>
        <v xml:space="preserve">Auxiliar de Limpeza, com adicional de acúmulo de função - diurno - 24 horas semanais </v>
      </c>
      <c r="C38" s="461"/>
      <c r="D38" s="461"/>
      <c r="E38" s="462"/>
      <c r="F38" s="176" t="str">
        <f>VLOOKUP($A38,'Tabela de Códigos e Valores'!$A:$M,5,FALSE)</f>
        <v>Posto</v>
      </c>
      <c r="G38" s="176" t="str">
        <f>VLOOKUP($A38,'Tabela de Códigos e Valores'!$A:$M,6,FALSE)</f>
        <v>Mensal</v>
      </c>
      <c r="H38" s="239">
        <f>SUMIFS('Relatório Custo'!$K:$K,'Relatório Custo'!$E:$E,$A38,'Relatório Custo'!$C:$C,'Custo  Resumido por local'!$C$1)</f>
        <v>1</v>
      </c>
      <c r="I38" s="78">
        <f>IF(F38="Posto",SUMIFS('Relatório Custo'!$Z:$Z,'Relatório Custo'!$E:$E,$A38,'Relatório Custo'!$C:$C,'Custo  Resumido por local'!$C$1),0)</f>
        <v>1236.3799999999999</v>
      </c>
      <c r="J38" s="78">
        <f>SUMIFS('Relatório Custo'!$V:$V,'Relatório Custo'!$E:$E,$A38,'Relatório Custo'!$C:$C,'Custo  Resumido por local'!$C$1)</f>
        <v>3907</v>
      </c>
      <c r="K38" s="78">
        <f>SUMIFS('Relatório Custo'!$X:$X,'Relatório Custo'!$E:$E,$A38,'Relatório Custo'!$C:$C,'Custo  Resumido por local'!$C$1)</f>
        <v>117210</v>
      </c>
      <c r="L38" s="79"/>
      <c r="M38" s="79"/>
    </row>
    <row r="39" spans="1:15" x14ac:dyDescent="0.25">
      <c r="A39" s="77">
        <v>690065</v>
      </c>
      <c r="B39" s="460" t="str">
        <f>VLOOKUP(A39,'Tabela de Códigos e Valores'!A:B,2,FALSE)</f>
        <v>Serviço de limpeza - plantonista - sábados (8 horas)</v>
      </c>
      <c r="C39" s="461"/>
      <c r="D39" s="461"/>
      <c r="E39" s="462"/>
      <c r="F39" s="176" t="str">
        <f>VLOOKUP($A39,'Tabela de Códigos e Valores'!$A:$M,5,FALSE)</f>
        <v>Plantão - Sábado</v>
      </c>
      <c r="G39" s="176" t="str">
        <f>VLOOKUP($A39,'Tabela de Códigos e Valores'!$A:$M,6,FALSE)</f>
        <v>Mensal</v>
      </c>
      <c r="H39" s="239">
        <f>SUMIFS('Relatório Custo'!$K:$K,'Relatório Custo'!$E:$E,$A39,'Relatório Custo'!$C:$C,'Custo  Resumido por local'!$C$1)</f>
        <v>1</v>
      </c>
      <c r="I39" s="78">
        <f>IF(F39="Posto",SUMIFS('Relatório Custo'!$Z:$Z,'Relatório Custo'!$E:$E,$A39,'Relatório Custo'!$C:$C,'Custo  Resumido por local'!$C$1),0)</f>
        <v>0</v>
      </c>
      <c r="J39" s="78">
        <f>SUMIFS('Relatório Custo'!$V:$V,'Relatório Custo'!$E:$E,$A39,'Relatório Custo'!$C:$C,'Custo  Resumido por local'!$C$1)</f>
        <v>1273.1500000000001</v>
      </c>
      <c r="K39" s="78">
        <f>SUMIFS('Relatório Custo'!$X:$X,'Relatório Custo'!$E:$E,$A39,'Relatório Custo'!$C:$C,'Custo  Resumido por local'!$C$1)</f>
        <v>38194.5</v>
      </c>
      <c r="L39" s="79"/>
      <c r="M39" s="79"/>
    </row>
    <row r="40" spans="1:15" x14ac:dyDescent="0.25">
      <c r="A40" s="77">
        <v>690066</v>
      </c>
      <c r="B40" s="460" t="str">
        <f>VLOOKUP(A40,'Tabela de Códigos e Valores'!A:B,2,FALSE)</f>
        <v>Serviço de limpeza - plantonista - domingos (8 horas)</v>
      </c>
      <c r="C40" s="461"/>
      <c r="D40" s="461"/>
      <c r="E40" s="462"/>
      <c r="F40" s="176" t="str">
        <f>VLOOKUP($A40,'Tabela de Códigos e Valores'!$A:$M,5,FALSE)</f>
        <v>Plantão - Dom/Fer</v>
      </c>
      <c r="G40" s="176" t="str">
        <f>VLOOKUP($A40,'Tabela de Códigos e Valores'!$A:$M,6,FALSE)</f>
        <v>Mensal</v>
      </c>
      <c r="H40" s="239">
        <f>SUMIFS('Relatório Custo'!$K:$K,'Relatório Custo'!$E:$E,$A40,'Relatório Custo'!$C:$C,'Custo  Resumido por local'!$C$1)</f>
        <v>1</v>
      </c>
      <c r="I40" s="78">
        <f>IF(F40="Posto",SUMIFS('Relatório Custo'!$Z:$Z,'Relatório Custo'!$E:$E,$A40,'Relatório Custo'!$C:$C,'Custo  Resumido por local'!$C$1),0)</f>
        <v>0</v>
      </c>
      <c r="J40" s="78">
        <f>SUMIFS('Relatório Custo'!$V:$V,'Relatório Custo'!$E:$E,$A40,'Relatório Custo'!$C:$C,'Custo  Resumido por local'!$C$1)</f>
        <v>1631.97</v>
      </c>
      <c r="K40" s="78">
        <f>SUMIFS('Relatório Custo'!$X:$X,'Relatório Custo'!$E:$E,$A40,'Relatório Custo'!$C:$C,'Custo  Resumido por local'!$C$1)</f>
        <v>48959.1</v>
      </c>
      <c r="L40" s="79"/>
      <c r="M40" s="79"/>
    </row>
    <row r="41" spans="1:15" x14ac:dyDescent="0.25">
      <c r="A41" s="466" t="s">
        <v>217</v>
      </c>
      <c r="B41" s="467"/>
      <c r="C41" s="467"/>
      <c r="D41" s="467"/>
      <c r="E41" s="467"/>
      <c r="F41" s="467"/>
      <c r="G41" s="467"/>
      <c r="H41" s="468"/>
      <c r="I41" s="87">
        <f>ROUND(SUBTOTAL(9,I5:I40),2)</f>
        <v>47606.239999999998</v>
      </c>
      <c r="J41" s="87"/>
      <c r="K41" s="87">
        <f>ROUND(SUBTOTAL(9,K5:K40),2)</f>
        <v>4826935.2</v>
      </c>
      <c r="L41" s="88"/>
      <c r="M41" s="88"/>
      <c r="N41" s="88"/>
      <c r="O41" s="79"/>
    </row>
    <row r="42" spans="1:15" x14ac:dyDescent="0.25">
      <c r="A42" s="89" t="s">
        <v>218</v>
      </c>
      <c r="B42" s="90"/>
      <c r="C42" s="90"/>
      <c r="D42" s="235"/>
      <c r="E42" s="90"/>
      <c r="F42" s="90"/>
      <c r="G42" s="90"/>
      <c r="H42" s="90"/>
      <c r="I42" s="90"/>
      <c r="J42" s="90"/>
      <c r="K42" s="149"/>
      <c r="L42" s="79"/>
      <c r="M42" s="79"/>
      <c r="N42" s="79"/>
      <c r="O42" s="79"/>
    </row>
    <row r="43" spans="1:15" x14ac:dyDescent="0.25">
      <c r="A43" s="473" t="s">
        <v>83</v>
      </c>
      <c r="B43" s="474"/>
      <c r="C43" s="474"/>
      <c r="D43" s="474"/>
      <c r="E43" s="474"/>
      <c r="F43" s="474"/>
      <c r="G43" s="474"/>
      <c r="H43" s="474"/>
      <c r="I43" s="474"/>
      <c r="J43" s="474"/>
      <c r="K43" s="475"/>
    </row>
    <row r="44" spans="1:15" x14ac:dyDescent="0.25">
      <c r="A44" s="108" t="s">
        <v>219</v>
      </c>
      <c r="B44" s="170" t="s">
        <v>220</v>
      </c>
      <c r="C44" s="171"/>
      <c r="D44" s="171"/>
      <c r="E44" s="171"/>
      <c r="F44" s="171"/>
      <c r="G44" s="171"/>
      <c r="H44" s="171"/>
      <c r="I44" s="172"/>
      <c r="J44" s="176"/>
      <c r="K44" s="91">
        <f>$I$41</f>
        <v>47606.239999999998</v>
      </c>
    </row>
    <row r="45" spans="1:15" x14ac:dyDescent="0.25">
      <c r="A45" s="108" t="s">
        <v>221</v>
      </c>
      <c r="B45" s="170" t="s">
        <v>73</v>
      </c>
      <c r="C45" s="171"/>
      <c r="D45" s="171"/>
      <c r="E45" s="171"/>
      <c r="F45" s="171"/>
      <c r="G45" s="171"/>
      <c r="H45" s="171"/>
      <c r="I45" s="171"/>
      <c r="J45" s="92">
        <f>'Indicadores Financeiros'!$J$28</f>
        <v>8.9300000000000004E-2</v>
      </c>
      <c r="K45" s="494"/>
    </row>
    <row r="46" spans="1:15" x14ac:dyDescent="0.25">
      <c r="A46" s="108" t="s">
        <v>222</v>
      </c>
      <c r="B46" s="170" t="s">
        <v>76</v>
      </c>
      <c r="C46" s="171"/>
      <c r="D46" s="171"/>
      <c r="E46" s="171"/>
      <c r="F46" s="171"/>
      <c r="G46" s="171"/>
      <c r="H46" s="171"/>
      <c r="I46" s="171"/>
      <c r="J46" s="92">
        <f>'Indicadores Financeiros'!$J$55</f>
        <v>8.9300000000000004E-2</v>
      </c>
      <c r="K46" s="495"/>
    </row>
    <row r="47" spans="1:15" x14ac:dyDescent="0.25">
      <c r="A47" s="108" t="s">
        <v>223</v>
      </c>
      <c r="B47" s="170" t="s">
        <v>84</v>
      </c>
      <c r="C47" s="171"/>
      <c r="D47" s="171"/>
      <c r="E47" s="171"/>
      <c r="F47" s="171"/>
      <c r="G47" s="171"/>
      <c r="H47" s="171"/>
      <c r="I47" s="171"/>
      <c r="J47" s="92">
        <f>'Indicadores Financeiros'!$J$29</f>
        <v>2.98E-2</v>
      </c>
      <c r="K47" s="495"/>
    </row>
    <row r="48" spans="1:15" x14ac:dyDescent="0.25">
      <c r="A48" s="108" t="s">
        <v>224</v>
      </c>
      <c r="B48" s="170" t="s">
        <v>225</v>
      </c>
      <c r="C48" s="171"/>
      <c r="D48" s="171"/>
      <c r="E48" s="171"/>
      <c r="F48" s="172"/>
      <c r="G48" s="93"/>
      <c r="H48" s="94" t="s">
        <v>43</v>
      </c>
      <c r="I48" s="95">
        <f>'Indicadores Financeiros'!$J$25</f>
        <v>0.3680000000000001</v>
      </c>
      <c r="J48" s="92">
        <f>ROUND(I48*SUM(J45:J47),4)</f>
        <v>7.6700000000000004E-2</v>
      </c>
      <c r="K48" s="495"/>
    </row>
    <row r="49" spans="1:193" x14ac:dyDescent="0.25">
      <c r="A49" s="108" t="s">
        <v>226</v>
      </c>
      <c r="B49" s="170" t="s">
        <v>86</v>
      </c>
      <c r="C49" s="171"/>
      <c r="D49" s="171"/>
      <c r="E49" s="171"/>
      <c r="F49" s="171"/>
      <c r="G49" s="171"/>
      <c r="H49" s="171"/>
      <c r="I49" s="171"/>
      <c r="J49" s="92">
        <f>'Indicadores Financeiros'!$J$52</f>
        <v>3.4799999999999998E-2</v>
      </c>
      <c r="K49" s="496"/>
    </row>
    <row r="50" spans="1:193" x14ac:dyDescent="0.25">
      <c r="A50" s="478" t="s">
        <v>227</v>
      </c>
      <c r="B50" s="479"/>
      <c r="C50" s="479"/>
      <c r="D50" s="479"/>
      <c r="E50" s="479"/>
      <c r="F50" s="479"/>
      <c r="G50" s="479"/>
      <c r="H50" s="479"/>
      <c r="I50" s="480"/>
      <c r="J50" s="96">
        <f>ROUND(SUM(J45:J49),4)</f>
        <v>0.31990000000000002</v>
      </c>
      <c r="K50" s="97">
        <f>ROUND($J$50*$K$44,2)</f>
        <v>15229.24</v>
      </c>
      <c r="L50" s="7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</row>
    <row r="51" spans="1:193" ht="6.6" customHeight="1" x14ac:dyDescent="0.25">
      <c r="A51" s="173"/>
      <c r="B51" s="173"/>
      <c r="C51" s="173"/>
      <c r="D51" s="171"/>
      <c r="E51" s="173"/>
      <c r="F51" s="173"/>
      <c r="G51" s="173"/>
      <c r="H51" s="173"/>
      <c r="I51" s="173"/>
      <c r="J51" s="173"/>
      <c r="K51" s="146"/>
      <c r="L51" s="98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</row>
    <row r="52" spans="1:193" x14ac:dyDescent="0.25">
      <c r="A52" s="473" t="s">
        <v>228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77"/>
      <c r="L52" s="98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</row>
    <row r="53" spans="1:193" x14ac:dyDescent="0.25">
      <c r="A53" s="487" t="s">
        <v>229</v>
      </c>
      <c r="B53" s="488"/>
      <c r="C53" s="482" t="s">
        <v>164</v>
      </c>
      <c r="D53" s="483"/>
      <c r="E53" s="483"/>
      <c r="F53" s="483"/>
      <c r="G53" s="483"/>
      <c r="H53" s="484"/>
      <c r="I53" s="485" t="s">
        <v>230</v>
      </c>
      <c r="J53" s="485" t="s">
        <v>231</v>
      </c>
      <c r="K53" s="485" t="s">
        <v>232</v>
      </c>
      <c r="L53" s="98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</row>
    <row r="54" spans="1:193" x14ac:dyDescent="0.25">
      <c r="A54" s="489"/>
      <c r="B54" s="490"/>
      <c r="C54" s="463" t="s">
        <v>233</v>
      </c>
      <c r="D54" s="465"/>
      <c r="E54" s="463" t="s">
        <v>234</v>
      </c>
      <c r="F54" s="465"/>
      <c r="G54" s="482" t="s">
        <v>235</v>
      </c>
      <c r="H54" s="484"/>
      <c r="I54" s="486"/>
      <c r="J54" s="486"/>
      <c r="K54" s="486"/>
      <c r="L54" s="98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</row>
    <row r="55" spans="1:193" x14ac:dyDescent="0.25">
      <c r="A55" s="476">
        <v>1</v>
      </c>
      <c r="B55" s="477"/>
      <c r="C55" s="252">
        <f>IF(A55&lt;='Indicadores Financeiros'!$F$14,SUMIFS('Relatório Custo'!$V:$V,'Relatório Custo'!$H:$H,'Custo  Resumido por local'!$C$54,'Relatório Custo'!$W:$W,"&lt;="&amp;'Custo  Resumido por local'!$A55,'Relatório Custo'!$C:$C,'Custo  Resumido por local'!$C$1),0)</f>
        <v>160808.65</v>
      </c>
      <c r="D55" s="253"/>
      <c r="E55" s="471"/>
      <c r="F55" s="472"/>
      <c r="G55" s="471"/>
      <c r="H55" s="472"/>
      <c r="I55" s="78">
        <f t="shared" ref="I55:I84" si="0">C55+E55+G55</f>
        <v>160808.65</v>
      </c>
      <c r="J55" s="78">
        <f>IF(A55&lt;='Indicadores Financeiros'!$F$14,SUMIFS('Relatório Custo'!$Z:$Z,'Relatório Custo'!$W:$W,"&lt;="&amp;'Custo  Resumido por local'!$A55,'Relatório Custo'!$C:$C,'Custo  Resumido por local'!$C$1),0)</f>
        <v>47606.240000000005</v>
      </c>
      <c r="K55" s="110">
        <f>ROUND(IF(A55&lt;='Indicadores Financeiros'!$F$14,SUMIFS('Relatório Custo'!$AA:$AA,'Relatório Custo'!$W:$W,"&lt;="&amp;'Custo  Resumido por local'!$A55,'Relatório Custo'!$C:$C,'Custo  Resumido por local'!$C$1),0),2)</f>
        <v>15229.24</v>
      </c>
      <c r="L55" s="151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</row>
    <row r="56" spans="1:193" x14ac:dyDescent="0.25">
      <c r="A56" s="476">
        <v>2</v>
      </c>
      <c r="B56" s="477"/>
      <c r="C56" s="252">
        <f>IF(A56&lt;='Indicadores Financeiros'!$F$14,SUMIFS('Relatório Custo'!$V:$V,'Relatório Custo'!$H:$H,'Custo  Resumido por local'!$C$54,'Relatório Custo'!$W:$W,"&lt;="&amp;'Custo  Resumido por local'!$A56,'Relatório Custo'!$C:$C,'Custo  Resumido por local'!$C$1),0)</f>
        <v>160808.65</v>
      </c>
      <c r="D56" s="253"/>
      <c r="E56" s="471">
        <f>IF(A56&lt;='Indicadores Financeiros'!$F$14,SUMIFS('Relatório Custo'!$V:$V,'Relatório Custo'!$H:$H,'Custo  Resumido por local'!$E$54,'Relatório Custo'!$W:$W,"&lt;="&amp;'Custo  Resumido por local'!$A56,'Relatório Custo'!$C:$C,'Custo  Resumido por local'!$C$1),0)</f>
        <v>5.12</v>
      </c>
      <c r="F56" s="472"/>
      <c r="G56" s="471"/>
      <c r="H56" s="472"/>
      <c r="I56" s="78">
        <f t="shared" si="0"/>
        <v>160813.76999999999</v>
      </c>
      <c r="J56" s="78">
        <f>IF(A56&lt;='Indicadores Financeiros'!$F$14,SUMIFS('Relatório Custo'!$Z:$Z,'Relatório Custo'!$W:$W,"&lt;="&amp;'Custo  Resumido por local'!$A56,'Relatório Custo'!$C:$C,'Custo  Resumido por local'!$C$1),0)</f>
        <v>47606.240000000005</v>
      </c>
      <c r="K56" s="110">
        <f>ROUND(IF(A56&lt;='Indicadores Financeiros'!$F$14,SUMIFS('Relatório Custo'!$AA:$AA,'Relatório Custo'!$W:$W,"&lt;="&amp;'Custo  Resumido por local'!$A56,'Relatório Custo'!$C:$C,'Custo  Resumido por local'!$C$1),0),2)</f>
        <v>15229.24</v>
      </c>
      <c r="L56" s="98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</row>
    <row r="57" spans="1:193" ht="13.9" customHeight="1" x14ac:dyDescent="0.25">
      <c r="A57" s="476">
        <v>3</v>
      </c>
      <c r="B57" s="477"/>
      <c r="C57" s="252">
        <f>IF(A57&lt;='Indicadores Financeiros'!$F$14,SUMIFS('Relatório Custo'!$V:$V,'Relatório Custo'!$H:$H,'Custo  Resumido por local'!$C$54,'Relatório Custo'!$W:$W,"&lt;="&amp;'Custo  Resumido por local'!$A57,'Relatório Custo'!$C:$C,'Custo  Resumido por local'!$C$1),0)</f>
        <v>160808.65</v>
      </c>
      <c r="D57" s="253"/>
      <c r="E57" s="471"/>
      <c r="F57" s="472"/>
      <c r="G57" s="471"/>
      <c r="H57" s="472"/>
      <c r="I57" s="78">
        <f t="shared" si="0"/>
        <v>160808.65</v>
      </c>
      <c r="J57" s="78">
        <f>IF(A57&lt;='Indicadores Financeiros'!$F$14,SUMIFS('Relatório Custo'!$Z:$Z,'Relatório Custo'!$W:$W,"&lt;="&amp;'Custo  Resumido por local'!$A57,'Relatório Custo'!$C:$C,'Custo  Resumido por local'!$C$1),0)</f>
        <v>47606.240000000005</v>
      </c>
      <c r="K57" s="110">
        <f>ROUND(IF(A57&lt;='Indicadores Financeiros'!$F$14,SUMIFS('Relatório Custo'!$AA:$AA,'Relatório Custo'!$W:$W,"&lt;="&amp;'Custo  Resumido por local'!$A57,'Relatório Custo'!$C:$C,'Custo  Resumido por local'!$C$1),0),2)</f>
        <v>15229.24</v>
      </c>
      <c r="L57" s="98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</row>
    <row r="58" spans="1:193" ht="13.9" customHeight="1" x14ac:dyDescent="0.25">
      <c r="A58" s="476">
        <v>4</v>
      </c>
      <c r="B58" s="477"/>
      <c r="C58" s="252">
        <f>IF(A58&lt;='Indicadores Financeiros'!$F$14,SUMIFS('Relatório Custo'!$V:$V,'Relatório Custo'!$H:$H,'Custo  Resumido por local'!$C$54,'Relatório Custo'!$W:$W,"&lt;="&amp;'Custo  Resumido por local'!$A58,'Relatório Custo'!$C:$C,'Custo  Resumido por local'!$C$1),0)</f>
        <v>160808.65</v>
      </c>
      <c r="D58" s="253"/>
      <c r="E58" s="471"/>
      <c r="F58" s="472"/>
      <c r="G58" s="471"/>
      <c r="H58" s="472"/>
      <c r="I58" s="78">
        <f t="shared" si="0"/>
        <v>160808.65</v>
      </c>
      <c r="J58" s="78">
        <f>IF(A58&lt;='Indicadores Financeiros'!$F$14,SUMIFS('Relatório Custo'!$Z:$Z,'Relatório Custo'!$W:$W,"&lt;="&amp;'Custo  Resumido por local'!$A58,'Relatório Custo'!$C:$C,'Custo  Resumido por local'!$C$1),0)</f>
        <v>47606.240000000005</v>
      </c>
      <c r="K58" s="110">
        <f>ROUND(IF(A58&lt;='Indicadores Financeiros'!$F$14,SUMIFS('Relatório Custo'!$AA:$AA,'Relatório Custo'!$W:$W,"&lt;="&amp;'Custo  Resumido por local'!$A58,'Relatório Custo'!$C:$C,'Custo  Resumido por local'!$C$1),0),2)</f>
        <v>15229.24</v>
      </c>
      <c r="L58" s="9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</row>
    <row r="59" spans="1:193" ht="13.9" customHeight="1" x14ac:dyDescent="0.25">
      <c r="A59" s="476">
        <v>5</v>
      </c>
      <c r="B59" s="477"/>
      <c r="C59" s="252">
        <f>IF(A59&lt;='Indicadores Financeiros'!$F$14,SUMIFS('Relatório Custo'!$V:$V,'Relatório Custo'!$H:$H,'Custo  Resumido por local'!$C$54,'Relatório Custo'!$W:$W,"&lt;="&amp;'Custo  Resumido por local'!$A59,'Relatório Custo'!$C:$C,'Custo  Resumido por local'!$C$1),0)</f>
        <v>160808.65</v>
      </c>
      <c r="D59" s="253"/>
      <c r="E59" s="471">
        <f>IF(A59&lt;='Indicadores Financeiros'!$F$14,SUMIFS('Relatório Custo'!$V:$V,'Relatório Custo'!$H:$H,'Custo  Resumido por local'!$E$54,'Relatório Custo'!$W:$W,"&lt;="&amp;'Custo  Resumido por local'!$A59,'Relatório Custo'!$C:$C,'Custo  Resumido por local'!$C$1),0)</f>
        <v>5.12</v>
      </c>
      <c r="F59" s="472"/>
      <c r="G59" s="471"/>
      <c r="H59" s="472"/>
      <c r="I59" s="78">
        <f t="shared" si="0"/>
        <v>160813.76999999999</v>
      </c>
      <c r="J59" s="78">
        <f>IF(A59&lt;='Indicadores Financeiros'!$F$14,SUMIFS('Relatório Custo'!$Z:$Z,'Relatório Custo'!$W:$W,"&lt;="&amp;'Custo  Resumido por local'!$A59,'Relatório Custo'!$C:$C,'Custo  Resumido por local'!$C$1),0)</f>
        <v>47606.240000000005</v>
      </c>
      <c r="K59" s="110">
        <f>ROUND(IF(A59&lt;='Indicadores Financeiros'!$F$14,SUMIFS('Relatório Custo'!$AA:$AA,'Relatório Custo'!$W:$W,"&lt;="&amp;'Custo  Resumido por local'!$A59,'Relatório Custo'!$C:$C,'Custo  Resumido por local'!$C$1),0),2)</f>
        <v>15229.24</v>
      </c>
      <c r="L59" s="98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</row>
    <row r="60" spans="1:193" ht="13.9" customHeight="1" x14ac:dyDescent="0.25">
      <c r="A60" s="476">
        <v>6</v>
      </c>
      <c r="B60" s="477"/>
      <c r="C60" s="252">
        <f>IF(A60&lt;='Indicadores Financeiros'!$F$14,SUMIFS('Relatório Custo'!$V:$V,'Relatório Custo'!$H:$H,'Custo  Resumido por local'!$C$54,'Relatório Custo'!$W:$W,"&lt;="&amp;'Custo  Resumido por local'!$A60,'Relatório Custo'!$C:$C,'Custo  Resumido por local'!$C$1),0)</f>
        <v>160808.65</v>
      </c>
      <c r="D60" s="253"/>
      <c r="E60" s="471"/>
      <c r="F60" s="472"/>
      <c r="G60" s="471"/>
      <c r="H60" s="472"/>
      <c r="I60" s="78">
        <f t="shared" si="0"/>
        <v>160808.65</v>
      </c>
      <c r="J60" s="78">
        <f>IF(A60&lt;='Indicadores Financeiros'!$F$14,SUMIFS('Relatório Custo'!$Z:$Z,'Relatório Custo'!$W:$W,"&lt;="&amp;'Custo  Resumido por local'!$A60,'Relatório Custo'!$C:$C,'Custo  Resumido por local'!$C$1),0)</f>
        <v>47606.240000000005</v>
      </c>
      <c r="K60" s="110">
        <f>ROUND(IF(A60&lt;='Indicadores Financeiros'!$F$14,SUMIFS('Relatório Custo'!$AA:$AA,'Relatório Custo'!$W:$W,"&lt;="&amp;'Custo  Resumido por local'!$A60,'Relatório Custo'!$C:$C,'Custo  Resumido por local'!$C$1),0),2)</f>
        <v>15229.24</v>
      </c>
      <c r="L60" s="98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</row>
    <row r="61" spans="1:193" ht="13.9" customHeight="1" x14ac:dyDescent="0.25">
      <c r="A61" s="476">
        <v>7</v>
      </c>
      <c r="B61" s="477"/>
      <c r="C61" s="252">
        <f>IF(A61&lt;='Indicadores Financeiros'!$F$14,SUMIFS('Relatório Custo'!$V:$V,'Relatório Custo'!$H:$H,'Custo  Resumido por local'!$C$54,'Relatório Custo'!$W:$W,"&lt;="&amp;'Custo  Resumido por local'!$A61,'Relatório Custo'!$C:$C,'Custo  Resumido por local'!$C$1),0)</f>
        <v>160808.65</v>
      </c>
      <c r="D61" s="253"/>
      <c r="E61" s="471"/>
      <c r="F61" s="472"/>
      <c r="G61" s="471"/>
      <c r="H61" s="472"/>
      <c r="I61" s="78">
        <f t="shared" si="0"/>
        <v>160808.65</v>
      </c>
      <c r="J61" s="78">
        <f>IF(A61&lt;='Indicadores Financeiros'!$F$14,SUMIFS('Relatório Custo'!$Z:$Z,'Relatório Custo'!$W:$W,"&lt;="&amp;'Custo  Resumido por local'!$A61,'Relatório Custo'!$C:$C,'Custo  Resumido por local'!$C$1),0)</f>
        <v>47606.240000000005</v>
      </c>
      <c r="K61" s="110">
        <f>ROUND(IF(A61&lt;='Indicadores Financeiros'!$F$14,SUMIFS('Relatório Custo'!$AA:$AA,'Relatório Custo'!$W:$W,"&lt;="&amp;'Custo  Resumido por local'!$A61,'Relatório Custo'!$C:$C,'Custo  Resumido por local'!$C$1),0),2)</f>
        <v>15229.24</v>
      </c>
      <c r="L61" s="98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</row>
    <row r="62" spans="1:193" ht="13.9" customHeight="1" x14ac:dyDescent="0.25">
      <c r="A62" s="476">
        <v>8</v>
      </c>
      <c r="B62" s="477"/>
      <c r="C62" s="252">
        <f>IF(A62&lt;='Indicadores Financeiros'!$F$14,SUMIFS('Relatório Custo'!$V:$V,'Relatório Custo'!$H:$H,'Custo  Resumido por local'!$C$54,'Relatório Custo'!$W:$W,"&lt;="&amp;'Custo  Resumido por local'!$A62,'Relatório Custo'!$C:$C,'Custo  Resumido por local'!$C$1),0)</f>
        <v>160808.65</v>
      </c>
      <c r="D62" s="253"/>
      <c r="E62" s="471">
        <f>IF(A62&lt;='Indicadores Financeiros'!$F$14,SUMIFS('Relatório Custo'!$V:$V,'Relatório Custo'!$H:$H,'Custo  Resumido por local'!$E$54,'Relatório Custo'!$W:$W,"&lt;="&amp;'Custo  Resumido por local'!$A62,'Relatório Custo'!$C:$C,'Custo  Resumido por local'!$C$1),0)</f>
        <v>5.12</v>
      </c>
      <c r="F62" s="472"/>
      <c r="G62" s="471"/>
      <c r="H62" s="472"/>
      <c r="I62" s="78">
        <f t="shared" si="0"/>
        <v>160813.76999999999</v>
      </c>
      <c r="J62" s="78">
        <f>IF(A62&lt;='Indicadores Financeiros'!$F$14,SUMIFS('Relatório Custo'!$Z:$Z,'Relatório Custo'!$W:$W,"&lt;="&amp;'Custo  Resumido por local'!$A62,'Relatório Custo'!$C:$C,'Custo  Resumido por local'!$C$1),0)</f>
        <v>47606.240000000005</v>
      </c>
      <c r="K62" s="110">
        <f>ROUND(IF(A62&lt;='Indicadores Financeiros'!$F$14,SUMIFS('Relatório Custo'!$AA:$AA,'Relatório Custo'!$W:$W,"&lt;="&amp;'Custo  Resumido por local'!$A62,'Relatório Custo'!$C:$C,'Custo  Resumido por local'!$C$1),0),2)</f>
        <v>15229.24</v>
      </c>
      <c r="L62" s="98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</row>
    <row r="63" spans="1:193" ht="13.9" customHeight="1" x14ac:dyDescent="0.25">
      <c r="A63" s="476">
        <v>9</v>
      </c>
      <c r="B63" s="477"/>
      <c r="C63" s="252">
        <f>IF(A63&lt;='Indicadores Financeiros'!$F$14,SUMIFS('Relatório Custo'!$V:$V,'Relatório Custo'!$H:$H,'Custo  Resumido por local'!$C$54,'Relatório Custo'!$W:$W,"&lt;="&amp;'Custo  Resumido por local'!$A63,'Relatório Custo'!$C:$C,'Custo  Resumido por local'!$C$1),0)</f>
        <v>160808.65</v>
      </c>
      <c r="D63" s="253"/>
      <c r="E63" s="471"/>
      <c r="F63" s="472"/>
      <c r="G63" s="471"/>
      <c r="H63" s="472"/>
      <c r="I63" s="78">
        <f t="shared" si="0"/>
        <v>160808.65</v>
      </c>
      <c r="J63" s="78">
        <f>IF(A63&lt;='Indicadores Financeiros'!$F$14,SUMIFS('Relatório Custo'!$Z:$Z,'Relatório Custo'!$W:$W,"&lt;="&amp;'Custo  Resumido por local'!$A63,'Relatório Custo'!$C:$C,'Custo  Resumido por local'!$C$1),0)</f>
        <v>47606.240000000005</v>
      </c>
      <c r="K63" s="110">
        <f>ROUND(IF(A63&lt;='Indicadores Financeiros'!$F$14,SUMIFS('Relatório Custo'!$AA:$AA,'Relatório Custo'!$W:$W,"&lt;="&amp;'Custo  Resumido por local'!$A63,'Relatório Custo'!$C:$C,'Custo  Resumido por local'!$C$1),0),2)</f>
        <v>15229.24</v>
      </c>
      <c r="L63" s="98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</row>
    <row r="64" spans="1:193" ht="13.9" customHeight="1" x14ac:dyDescent="0.25">
      <c r="A64" s="476">
        <v>10</v>
      </c>
      <c r="B64" s="477"/>
      <c r="C64" s="252">
        <f>IF(A64&lt;='Indicadores Financeiros'!$F$14,SUMIFS('Relatório Custo'!$V:$V,'Relatório Custo'!$H:$H,'Custo  Resumido por local'!$C$54,'Relatório Custo'!$W:$W,"&lt;="&amp;'Custo  Resumido por local'!$A64,'Relatório Custo'!$C:$C,'Custo  Resumido por local'!$C$1),0)</f>
        <v>160808.65</v>
      </c>
      <c r="D64" s="253"/>
      <c r="E64" s="471"/>
      <c r="F64" s="472"/>
      <c r="G64" s="471"/>
      <c r="H64" s="472"/>
      <c r="I64" s="78">
        <f t="shared" si="0"/>
        <v>160808.65</v>
      </c>
      <c r="J64" s="78">
        <f>IF(A64&lt;='Indicadores Financeiros'!$F$14,SUMIFS('Relatório Custo'!$Z:$Z,'Relatório Custo'!$W:$W,"&lt;="&amp;'Custo  Resumido por local'!$A64,'Relatório Custo'!$C:$C,'Custo  Resumido por local'!$C$1),0)</f>
        <v>47606.240000000005</v>
      </c>
      <c r="K64" s="110">
        <f>ROUND(IF(A64&lt;='Indicadores Financeiros'!$F$14,SUMIFS('Relatório Custo'!$AA:$AA,'Relatório Custo'!$W:$W,"&lt;="&amp;'Custo  Resumido por local'!$A64,'Relatório Custo'!$C:$C,'Custo  Resumido por local'!$C$1),0),2)</f>
        <v>15229.24</v>
      </c>
      <c r="L64" s="98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</row>
    <row r="65" spans="1:193" ht="13.9" customHeight="1" x14ac:dyDescent="0.25">
      <c r="A65" s="476">
        <v>11</v>
      </c>
      <c r="B65" s="477"/>
      <c r="C65" s="252">
        <f>IF(A65&lt;='Indicadores Financeiros'!$F$14,SUMIFS('Relatório Custo'!$V:$V,'Relatório Custo'!$H:$H,'Custo  Resumido por local'!$C$54,'Relatório Custo'!$W:$W,"&lt;="&amp;'Custo  Resumido por local'!$A65,'Relatório Custo'!$C:$C,'Custo  Resumido por local'!$C$1),0)</f>
        <v>160808.65</v>
      </c>
      <c r="D65" s="253"/>
      <c r="E65" s="471">
        <f>IF(A65&lt;='Indicadores Financeiros'!$F$14,SUMIFS('Relatório Custo'!$V:$V,'Relatório Custo'!$H:$H,'Custo  Resumido por local'!$E$54,'Relatório Custo'!$W:$W,"&lt;="&amp;'Custo  Resumido por local'!$A65,'Relatório Custo'!$C:$C,'Custo  Resumido por local'!$C$1),0)</f>
        <v>5.12</v>
      </c>
      <c r="F65" s="472"/>
      <c r="G65" s="471"/>
      <c r="H65" s="472"/>
      <c r="I65" s="78">
        <f t="shared" si="0"/>
        <v>160813.76999999999</v>
      </c>
      <c r="J65" s="78">
        <f>IF(A65&lt;='Indicadores Financeiros'!$F$14,SUMIFS('Relatório Custo'!$Z:$Z,'Relatório Custo'!$W:$W,"&lt;="&amp;'Custo  Resumido por local'!$A65,'Relatório Custo'!$C:$C,'Custo  Resumido por local'!$C$1),0)</f>
        <v>47606.240000000005</v>
      </c>
      <c r="K65" s="110">
        <f>ROUND(IF(A65&lt;='Indicadores Financeiros'!$F$14,SUMIFS('Relatório Custo'!$AA:$AA,'Relatório Custo'!$W:$W,"&lt;="&amp;'Custo  Resumido por local'!$A65,'Relatório Custo'!$C:$C,'Custo  Resumido por local'!$C$1),0),2)</f>
        <v>15229.24</v>
      </c>
      <c r="L65" s="98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</row>
    <row r="66" spans="1:193" ht="13.9" customHeight="1" x14ac:dyDescent="0.25">
      <c r="A66" s="476">
        <v>12</v>
      </c>
      <c r="B66" s="477"/>
      <c r="C66" s="252">
        <f>IF(A66&lt;='Indicadores Financeiros'!$F$14,SUMIFS('Relatório Custo'!$V:$V,'Relatório Custo'!$H:$H,'Custo  Resumido por local'!$C$54,'Relatório Custo'!$W:$W,"&lt;="&amp;'Custo  Resumido por local'!$A66,'Relatório Custo'!$C:$C,'Custo  Resumido por local'!$C$1),0)</f>
        <v>160808.65</v>
      </c>
      <c r="D66" s="253"/>
      <c r="E66" s="471"/>
      <c r="F66" s="472"/>
      <c r="G66" s="471">
        <f>IF(A66&lt;='Indicadores Financeiros'!$F$14,SUMIFS('Relatório Custo'!$V:$V,'Relatório Custo'!$H:$H,'Custo  Resumido por local'!$G$54,'Relatório Custo'!$W:$W,"&lt;="&amp;'Custo  Resumido por local'!$A66,'Relatório Custo'!$C:$C,'Custo  Resumido por local'!$C$1),0)</f>
        <v>1312.25</v>
      </c>
      <c r="H66" s="472"/>
      <c r="I66" s="78">
        <f t="shared" si="0"/>
        <v>162120.9</v>
      </c>
      <c r="J66" s="78">
        <f>IF(A66&lt;='Indicadores Financeiros'!$F$14,SUMIFS('Relatório Custo'!$Z:$Z,'Relatório Custo'!$W:$W,"&lt;="&amp;'Custo  Resumido por local'!$A66,'Relatório Custo'!$C:$C,'Custo  Resumido por local'!$C$1),0)</f>
        <v>47606.240000000005</v>
      </c>
      <c r="K66" s="110">
        <f>ROUND(IF(A66&lt;='Indicadores Financeiros'!$F$14,SUMIFS('Relatório Custo'!$AA:$AA,'Relatório Custo'!$W:$W,"&lt;="&amp;'Custo  Resumido por local'!$A66,'Relatório Custo'!$C:$C,'Custo  Resumido por local'!$C$1),0),2)</f>
        <v>15229.24</v>
      </c>
      <c r="L66" s="98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</row>
    <row r="67" spans="1:193" ht="13.9" customHeight="1" x14ac:dyDescent="0.25">
      <c r="A67" s="476">
        <v>13</v>
      </c>
      <c r="B67" s="477"/>
      <c r="C67" s="252">
        <f>IF(A67&lt;='Indicadores Financeiros'!$F$14,SUMIFS('Relatório Custo'!$V:$V,'Relatório Custo'!$H:$H,'Custo  Resumido por local'!$C$54,'Relatório Custo'!$W:$W,"&lt;="&amp;'Custo  Resumido por local'!$A67,'Relatório Custo'!$C:$C,'Custo  Resumido por local'!$C$1),0)</f>
        <v>160808.65</v>
      </c>
      <c r="D67" s="253"/>
      <c r="E67" s="471"/>
      <c r="F67" s="472"/>
      <c r="G67" s="471"/>
      <c r="H67" s="472"/>
      <c r="I67" s="78">
        <f t="shared" si="0"/>
        <v>160808.65</v>
      </c>
      <c r="J67" s="78">
        <f>IF(A67&lt;='Indicadores Financeiros'!$F$14,SUMIFS('Relatório Custo'!$Z:$Z,'Relatório Custo'!$W:$W,"&lt;="&amp;'Custo  Resumido por local'!$A67,'Relatório Custo'!$C:$C,'Custo  Resumido por local'!$C$1),0)</f>
        <v>47606.240000000005</v>
      </c>
      <c r="K67" s="110">
        <f>ROUND(IF(A67&lt;='Indicadores Financeiros'!$F$14,SUMIFS('Relatório Custo'!$AA:$AA,'Relatório Custo'!$W:$W,"&lt;="&amp;'Custo  Resumido por local'!$A67,'Relatório Custo'!$C:$C,'Custo  Resumido por local'!$C$1),0),2)</f>
        <v>15229.24</v>
      </c>
      <c r="L67" s="98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</row>
    <row r="68" spans="1:193" ht="13.9" customHeight="1" x14ac:dyDescent="0.25">
      <c r="A68" s="476">
        <v>14</v>
      </c>
      <c r="B68" s="477"/>
      <c r="C68" s="252">
        <f>IF(A68&lt;='Indicadores Financeiros'!$F$14,SUMIFS('Relatório Custo'!$V:$V,'Relatório Custo'!$H:$H,'Custo  Resumido por local'!$C$54,'Relatório Custo'!$W:$W,"&lt;="&amp;'Custo  Resumido por local'!$A68,'Relatório Custo'!$C:$C,'Custo  Resumido por local'!$C$1),0)</f>
        <v>160808.65</v>
      </c>
      <c r="D68" s="253"/>
      <c r="E68" s="471">
        <f>IF(A68&lt;='Indicadores Financeiros'!$F$14,SUMIFS('Relatório Custo'!$V:$V,'Relatório Custo'!$H:$H,'Custo  Resumido por local'!$E$54,'Relatório Custo'!$W:$W,"&lt;="&amp;'Custo  Resumido por local'!$A68,'Relatório Custo'!$C:$C,'Custo  Resumido por local'!$C$1),0)</f>
        <v>5.12</v>
      </c>
      <c r="F68" s="472"/>
      <c r="G68" s="471"/>
      <c r="H68" s="472"/>
      <c r="I68" s="78">
        <f t="shared" si="0"/>
        <v>160813.76999999999</v>
      </c>
      <c r="J68" s="78">
        <f>IF(A68&lt;='Indicadores Financeiros'!$F$14,SUMIFS('Relatório Custo'!$Z:$Z,'Relatório Custo'!$W:$W,"&lt;="&amp;'Custo  Resumido por local'!$A68,'Relatório Custo'!$C:$C,'Custo  Resumido por local'!$C$1),0)</f>
        <v>47606.240000000005</v>
      </c>
      <c r="K68" s="110">
        <f>ROUND(IF(A68&lt;='Indicadores Financeiros'!$F$14,SUMIFS('Relatório Custo'!$AA:$AA,'Relatório Custo'!$W:$W,"&lt;="&amp;'Custo  Resumido por local'!$A68,'Relatório Custo'!$C:$C,'Custo  Resumido por local'!$C$1),0),2)</f>
        <v>15229.24</v>
      </c>
      <c r="L68" s="9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</row>
    <row r="69" spans="1:193" ht="13.9" customHeight="1" x14ac:dyDescent="0.25">
      <c r="A69" s="476">
        <v>15</v>
      </c>
      <c r="B69" s="477"/>
      <c r="C69" s="252">
        <f>IF(A69&lt;='Indicadores Financeiros'!$F$14,SUMIFS('Relatório Custo'!$V:$V,'Relatório Custo'!$H:$H,'Custo  Resumido por local'!$C$54,'Relatório Custo'!$W:$W,"&lt;="&amp;'Custo  Resumido por local'!$A69,'Relatório Custo'!$C:$C,'Custo  Resumido por local'!$C$1),0)</f>
        <v>160808.65</v>
      </c>
      <c r="D69" s="253"/>
      <c r="E69" s="471"/>
      <c r="F69" s="472"/>
      <c r="G69" s="471"/>
      <c r="H69" s="472"/>
      <c r="I69" s="78">
        <f t="shared" si="0"/>
        <v>160808.65</v>
      </c>
      <c r="J69" s="78">
        <f>IF(A69&lt;='Indicadores Financeiros'!$F$14,SUMIFS('Relatório Custo'!$Z:$Z,'Relatório Custo'!$W:$W,"&lt;="&amp;'Custo  Resumido por local'!$A69,'Relatório Custo'!$C:$C,'Custo  Resumido por local'!$C$1),0)</f>
        <v>47606.240000000005</v>
      </c>
      <c r="K69" s="110">
        <f>ROUND(IF(A69&lt;='Indicadores Financeiros'!$F$14,SUMIFS('Relatório Custo'!$AA:$AA,'Relatório Custo'!$W:$W,"&lt;="&amp;'Custo  Resumido por local'!$A69,'Relatório Custo'!$C:$C,'Custo  Resumido por local'!$C$1),0),2)</f>
        <v>15229.24</v>
      </c>
      <c r="L69" s="98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</row>
    <row r="70" spans="1:193" ht="13.9" customHeight="1" x14ac:dyDescent="0.25">
      <c r="A70" s="476">
        <v>16</v>
      </c>
      <c r="B70" s="477"/>
      <c r="C70" s="252">
        <f>IF(A70&lt;='Indicadores Financeiros'!$F$14,SUMIFS('Relatório Custo'!$V:$V,'Relatório Custo'!$H:$H,'Custo  Resumido por local'!$C$54,'Relatório Custo'!$W:$W,"&lt;="&amp;'Custo  Resumido por local'!$A70,'Relatório Custo'!$C:$C,'Custo  Resumido por local'!$C$1),0)</f>
        <v>160808.65</v>
      </c>
      <c r="D70" s="253"/>
      <c r="E70" s="471"/>
      <c r="F70" s="472"/>
      <c r="G70" s="471"/>
      <c r="H70" s="472"/>
      <c r="I70" s="78">
        <f t="shared" si="0"/>
        <v>160808.65</v>
      </c>
      <c r="J70" s="78">
        <f>IF(A70&lt;='Indicadores Financeiros'!$F$14,SUMIFS('Relatório Custo'!$Z:$Z,'Relatório Custo'!$W:$W,"&lt;="&amp;'Custo  Resumido por local'!$A70,'Relatório Custo'!$C:$C,'Custo  Resumido por local'!$C$1),0)</f>
        <v>47606.240000000005</v>
      </c>
      <c r="K70" s="110">
        <f>ROUND(IF(A70&lt;='Indicadores Financeiros'!$F$14,SUMIFS('Relatório Custo'!$AA:$AA,'Relatório Custo'!$W:$W,"&lt;="&amp;'Custo  Resumido por local'!$A70,'Relatório Custo'!$C:$C,'Custo  Resumido por local'!$C$1),0),2)</f>
        <v>15229.24</v>
      </c>
      <c r="L70" s="98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</row>
    <row r="71" spans="1:193" ht="13.9" customHeight="1" x14ac:dyDescent="0.25">
      <c r="A71" s="476">
        <v>17</v>
      </c>
      <c r="B71" s="477"/>
      <c r="C71" s="252">
        <f>IF(A71&lt;='Indicadores Financeiros'!$F$14,SUMIFS('Relatório Custo'!$V:$V,'Relatório Custo'!$H:$H,'Custo  Resumido por local'!$C$54,'Relatório Custo'!$W:$W,"&lt;="&amp;'Custo  Resumido por local'!$A71,'Relatório Custo'!$C:$C,'Custo  Resumido por local'!$C$1),0)</f>
        <v>160808.65</v>
      </c>
      <c r="D71" s="253"/>
      <c r="E71" s="471">
        <f>IF(A71&lt;='Indicadores Financeiros'!$F$14,SUMIFS('Relatório Custo'!$V:$V,'Relatório Custo'!$H:$H,'Custo  Resumido por local'!$E$54,'Relatório Custo'!$W:$W,"&lt;="&amp;'Custo  Resumido por local'!$A71,'Relatório Custo'!$C:$C,'Custo  Resumido por local'!$C$1),0)</f>
        <v>5.12</v>
      </c>
      <c r="F71" s="472"/>
      <c r="G71" s="471"/>
      <c r="H71" s="472"/>
      <c r="I71" s="78">
        <f t="shared" si="0"/>
        <v>160813.76999999999</v>
      </c>
      <c r="J71" s="78">
        <f>IF(A71&lt;='Indicadores Financeiros'!$F$14,SUMIFS('Relatório Custo'!$Z:$Z,'Relatório Custo'!$W:$W,"&lt;="&amp;'Custo  Resumido por local'!$A71,'Relatório Custo'!$C:$C,'Custo  Resumido por local'!$C$1),0)</f>
        <v>47606.240000000005</v>
      </c>
      <c r="K71" s="110">
        <f>ROUND(IF(A71&lt;='Indicadores Financeiros'!$F$14,SUMIFS('Relatório Custo'!$AA:$AA,'Relatório Custo'!$W:$W,"&lt;="&amp;'Custo  Resumido por local'!$A71,'Relatório Custo'!$C:$C,'Custo  Resumido por local'!$C$1),0),2)</f>
        <v>15229.24</v>
      </c>
      <c r="L71" s="98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</row>
    <row r="72" spans="1:193" ht="13.9" customHeight="1" x14ac:dyDescent="0.25">
      <c r="A72" s="476">
        <v>18</v>
      </c>
      <c r="B72" s="477"/>
      <c r="C72" s="252">
        <f>IF(A72&lt;='Indicadores Financeiros'!$F$14,SUMIFS('Relatório Custo'!$V:$V,'Relatório Custo'!$H:$H,'Custo  Resumido por local'!$C$54,'Relatório Custo'!$W:$W,"&lt;="&amp;'Custo  Resumido por local'!$A72,'Relatório Custo'!$C:$C,'Custo  Resumido por local'!$C$1),0)</f>
        <v>160808.65</v>
      </c>
      <c r="D72" s="253"/>
      <c r="E72" s="471"/>
      <c r="F72" s="472"/>
      <c r="G72" s="471"/>
      <c r="H72" s="472"/>
      <c r="I72" s="78">
        <f t="shared" si="0"/>
        <v>160808.65</v>
      </c>
      <c r="J72" s="78">
        <f>IF(A72&lt;='Indicadores Financeiros'!$F$14,SUMIFS('Relatório Custo'!$Z:$Z,'Relatório Custo'!$W:$W,"&lt;="&amp;'Custo  Resumido por local'!$A72,'Relatório Custo'!$C:$C,'Custo  Resumido por local'!$C$1),0)</f>
        <v>47606.240000000005</v>
      </c>
      <c r="K72" s="110">
        <f>ROUND(IF(A72&lt;='Indicadores Financeiros'!$F$14,SUMIFS('Relatório Custo'!$AA:$AA,'Relatório Custo'!$W:$W,"&lt;="&amp;'Custo  Resumido por local'!$A72,'Relatório Custo'!$C:$C,'Custo  Resumido por local'!$C$1),0),2)</f>
        <v>15229.24</v>
      </c>
      <c r="L72" s="98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</row>
    <row r="73" spans="1:193" ht="13.9" customHeight="1" x14ac:dyDescent="0.25">
      <c r="A73" s="476">
        <v>19</v>
      </c>
      <c r="B73" s="477"/>
      <c r="C73" s="252">
        <f>IF(A73&lt;='Indicadores Financeiros'!$F$14,SUMIFS('Relatório Custo'!$V:$V,'Relatório Custo'!$H:$H,'Custo  Resumido por local'!$C$54,'Relatório Custo'!$W:$W,"&lt;="&amp;'Custo  Resumido por local'!$A73,'Relatório Custo'!$C:$C,'Custo  Resumido por local'!$C$1),0)</f>
        <v>160808.65</v>
      </c>
      <c r="D73" s="253"/>
      <c r="E73" s="471"/>
      <c r="F73" s="472"/>
      <c r="G73" s="471"/>
      <c r="H73" s="472"/>
      <c r="I73" s="78">
        <f t="shared" si="0"/>
        <v>160808.65</v>
      </c>
      <c r="J73" s="78">
        <f>IF(A73&lt;='Indicadores Financeiros'!$F$14,SUMIFS('Relatório Custo'!$Z:$Z,'Relatório Custo'!$W:$W,"&lt;="&amp;'Custo  Resumido por local'!$A73,'Relatório Custo'!$C:$C,'Custo  Resumido por local'!$C$1),0)</f>
        <v>47606.240000000005</v>
      </c>
      <c r="K73" s="110">
        <f>ROUND(IF(A73&lt;='Indicadores Financeiros'!$F$14,SUMIFS('Relatório Custo'!$AA:$AA,'Relatório Custo'!$W:$W,"&lt;="&amp;'Custo  Resumido por local'!$A73,'Relatório Custo'!$C:$C,'Custo  Resumido por local'!$C$1),0),2)</f>
        <v>15229.24</v>
      </c>
      <c r="L73" s="98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</row>
    <row r="74" spans="1:193" ht="13.9" customHeight="1" x14ac:dyDescent="0.25">
      <c r="A74" s="476">
        <v>20</v>
      </c>
      <c r="B74" s="477"/>
      <c r="C74" s="252">
        <f>IF(A74&lt;='Indicadores Financeiros'!$F$14,SUMIFS('Relatório Custo'!$V:$V,'Relatório Custo'!$H:$H,'Custo  Resumido por local'!$C$54,'Relatório Custo'!$W:$W,"&lt;="&amp;'Custo  Resumido por local'!$A74,'Relatório Custo'!$C:$C,'Custo  Resumido por local'!$C$1),0)</f>
        <v>160808.65</v>
      </c>
      <c r="D74" s="253"/>
      <c r="E74" s="471">
        <f>IF(A74&lt;='Indicadores Financeiros'!$F$14,SUMIFS('Relatório Custo'!$V:$V,'Relatório Custo'!$H:$H,'Custo  Resumido por local'!$E$54,'Relatório Custo'!$W:$W,"&lt;="&amp;'Custo  Resumido por local'!$A74,'Relatório Custo'!$C:$C,'Custo  Resumido por local'!$C$1),0)</f>
        <v>5.12</v>
      </c>
      <c r="F74" s="472"/>
      <c r="G74" s="471"/>
      <c r="H74" s="472"/>
      <c r="I74" s="78">
        <f t="shared" si="0"/>
        <v>160813.76999999999</v>
      </c>
      <c r="J74" s="78">
        <f>IF(A74&lt;='Indicadores Financeiros'!$F$14,SUMIFS('Relatório Custo'!$Z:$Z,'Relatório Custo'!$W:$W,"&lt;="&amp;'Custo  Resumido por local'!$A74,'Relatório Custo'!$C:$C,'Custo  Resumido por local'!$C$1),0)</f>
        <v>47606.240000000005</v>
      </c>
      <c r="K74" s="110">
        <f>ROUND(IF(A74&lt;='Indicadores Financeiros'!$F$14,SUMIFS('Relatório Custo'!$AA:$AA,'Relatório Custo'!$W:$W,"&lt;="&amp;'Custo  Resumido por local'!$A74,'Relatório Custo'!$C:$C,'Custo  Resumido por local'!$C$1),0),2)</f>
        <v>15229.24</v>
      </c>
      <c r="L74" s="98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</row>
    <row r="75" spans="1:193" s="76" customFormat="1" ht="13.9" customHeight="1" x14ac:dyDescent="0.25">
      <c r="A75" s="476">
        <v>21</v>
      </c>
      <c r="B75" s="477"/>
      <c r="C75" s="252">
        <f>IF(A75&lt;='Indicadores Financeiros'!$F$14,SUMIFS('Relatório Custo'!$V:$V,'Relatório Custo'!$H:$H,'Custo  Resumido por local'!$C$54,'Relatório Custo'!$W:$W,"&lt;="&amp;'Custo  Resumido por local'!$A75,'Relatório Custo'!$C:$C,'Custo  Resumido por local'!$C$1),0)</f>
        <v>160808.65</v>
      </c>
      <c r="D75" s="253"/>
      <c r="E75" s="471"/>
      <c r="F75" s="472"/>
      <c r="G75" s="471"/>
      <c r="H75" s="472"/>
      <c r="I75" s="78">
        <f t="shared" si="0"/>
        <v>160808.65</v>
      </c>
      <c r="J75" s="78">
        <f>IF(A75&lt;='Indicadores Financeiros'!$F$14,SUMIFS('Relatório Custo'!$Z:$Z,'Relatório Custo'!$W:$W,"&lt;="&amp;'Custo  Resumido por local'!$A75,'Relatório Custo'!$C:$C,'Custo  Resumido por local'!$C$1),0)</f>
        <v>47606.240000000005</v>
      </c>
      <c r="K75" s="110">
        <f>ROUND(IF(A75&lt;='Indicadores Financeiros'!$F$14,SUMIFS('Relatório Custo'!$AA:$AA,'Relatório Custo'!$W:$W,"&lt;="&amp;'Custo  Resumido por local'!$A75,'Relatório Custo'!$C:$C,'Custo  Resumido por local'!$C$1),0),2)</f>
        <v>15229.24</v>
      </c>
      <c r="L75" s="98"/>
    </row>
    <row r="76" spans="1:193" s="76" customFormat="1" ht="13.9" customHeight="1" x14ac:dyDescent="0.25">
      <c r="A76" s="476">
        <v>22</v>
      </c>
      <c r="B76" s="477"/>
      <c r="C76" s="252">
        <f>IF(A76&lt;='Indicadores Financeiros'!$F$14,SUMIFS('Relatório Custo'!$V:$V,'Relatório Custo'!$H:$H,'Custo  Resumido por local'!$C$54,'Relatório Custo'!$W:$W,"&lt;="&amp;'Custo  Resumido por local'!$A76,'Relatório Custo'!$C:$C,'Custo  Resumido por local'!$C$1),0)</f>
        <v>160808.65</v>
      </c>
      <c r="D76" s="253"/>
      <c r="E76" s="471"/>
      <c r="F76" s="472"/>
      <c r="G76" s="471"/>
      <c r="H76" s="472"/>
      <c r="I76" s="78">
        <f t="shared" si="0"/>
        <v>160808.65</v>
      </c>
      <c r="J76" s="78">
        <f>IF(A76&lt;='Indicadores Financeiros'!$F$14,SUMIFS('Relatório Custo'!$Z:$Z,'Relatório Custo'!$W:$W,"&lt;="&amp;'Custo  Resumido por local'!$A76,'Relatório Custo'!$C:$C,'Custo  Resumido por local'!$C$1),0)</f>
        <v>47606.240000000005</v>
      </c>
      <c r="K76" s="110">
        <f>ROUND(IF(A76&lt;='Indicadores Financeiros'!$F$14,SUMIFS('Relatório Custo'!$AA:$AA,'Relatório Custo'!$W:$W,"&lt;="&amp;'Custo  Resumido por local'!$A76,'Relatório Custo'!$C:$C,'Custo  Resumido por local'!$C$1),0),2)</f>
        <v>15229.24</v>
      </c>
      <c r="L76" s="98"/>
    </row>
    <row r="77" spans="1:193" s="76" customFormat="1" ht="13.9" customHeight="1" x14ac:dyDescent="0.25">
      <c r="A77" s="476">
        <v>23</v>
      </c>
      <c r="B77" s="477"/>
      <c r="C77" s="252">
        <f>IF(A77&lt;='Indicadores Financeiros'!$F$14,SUMIFS('Relatório Custo'!$V:$V,'Relatório Custo'!$H:$H,'Custo  Resumido por local'!$C$54,'Relatório Custo'!$W:$W,"&lt;="&amp;'Custo  Resumido por local'!$A77,'Relatório Custo'!$C:$C,'Custo  Resumido por local'!$C$1),0)</f>
        <v>160808.65</v>
      </c>
      <c r="D77" s="253"/>
      <c r="E77" s="471">
        <f>IF(A77&lt;='Indicadores Financeiros'!$F$14,SUMIFS('Relatório Custo'!$V:$V,'Relatório Custo'!$H:$H,'Custo  Resumido por local'!$E$54,'Relatório Custo'!$W:$W,"&lt;="&amp;'Custo  Resumido por local'!$A77,'Relatório Custo'!$C:$C,'Custo  Resumido por local'!$C$1),0)</f>
        <v>5.12</v>
      </c>
      <c r="F77" s="472"/>
      <c r="G77" s="471"/>
      <c r="H77" s="472"/>
      <c r="I77" s="78">
        <f t="shared" si="0"/>
        <v>160813.76999999999</v>
      </c>
      <c r="J77" s="78">
        <f>IF(A77&lt;='Indicadores Financeiros'!$F$14,SUMIFS('Relatório Custo'!$Z:$Z,'Relatório Custo'!$W:$W,"&lt;="&amp;'Custo  Resumido por local'!$A77,'Relatório Custo'!$C:$C,'Custo  Resumido por local'!$C$1),0)</f>
        <v>47606.240000000005</v>
      </c>
      <c r="K77" s="110">
        <f>ROUND(IF(A77&lt;='Indicadores Financeiros'!$F$14,SUMIFS('Relatório Custo'!$AA:$AA,'Relatório Custo'!$W:$W,"&lt;="&amp;'Custo  Resumido por local'!$A77,'Relatório Custo'!$C:$C,'Custo  Resumido por local'!$C$1),0),2)</f>
        <v>15229.24</v>
      </c>
      <c r="L77" s="98"/>
    </row>
    <row r="78" spans="1:193" s="76" customFormat="1" ht="13.9" customHeight="1" x14ac:dyDescent="0.25">
      <c r="A78" s="476">
        <v>24</v>
      </c>
      <c r="B78" s="477"/>
      <c r="C78" s="252">
        <f>IF(A78&lt;='Indicadores Financeiros'!$F$14,SUMIFS('Relatório Custo'!$V:$V,'Relatório Custo'!$H:$H,'Custo  Resumido por local'!$C$54,'Relatório Custo'!$W:$W,"&lt;="&amp;'Custo  Resumido por local'!$A78,'Relatório Custo'!$C:$C,'Custo  Resumido por local'!$C$1),0)</f>
        <v>160808.65</v>
      </c>
      <c r="D78" s="253"/>
      <c r="E78" s="471"/>
      <c r="F78" s="472"/>
      <c r="G78" s="471">
        <f>IF(A78&lt;='Indicadores Financeiros'!$F$14,SUMIFS('Relatório Custo'!$V:$V,'Relatório Custo'!$H:$H,'Custo  Resumido por local'!$G$54,'Relatório Custo'!$W:$W,"&lt;="&amp;'Custo  Resumido por local'!$A78,'Relatório Custo'!$C:$C,'Custo  Resumido por local'!$C$1),0)</f>
        <v>1312.25</v>
      </c>
      <c r="H78" s="472"/>
      <c r="I78" s="78">
        <f t="shared" si="0"/>
        <v>162120.9</v>
      </c>
      <c r="J78" s="78">
        <f>IF(A78&lt;='Indicadores Financeiros'!$F$14,SUMIFS('Relatório Custo'!$Z:$Z,'Relatório Custo'!$W:$W,"&lt;="&amp;'Custo  Resumido por local'!$A78,'Relatório Custo'!$C:$C,'Custo  Resumido por local'!$C$1),0)</f>
        <v>47606.240000000005</v>
      </c>
      <c r="K78" s="110">
        <f>ROUND(IF(A78&lt;='Indicadores Financeiros'!$F$14,SUMIFS('Relatório Custo'!$AA:$AA,'Relatório Custo'!$W:$W,"&lt;="&amp;'Custo  Resumido por local'!$A78,'Relatório Custo'!$C:$C,'Custo  Resumido por local'!$C$1),0),2)</f>
        <v>15229.24</v>
      </c>
      <c r="L78" s="98"/>
    </row>
    <row r="79" spans="1:193" s="76" customFormat="1" ht="13.9" customHeight="1" x14ac:dyDescent="0.25">
      <c r="A79" s="476">
        <v>25</v>
      </c>
      <c r="B79" s="477"/>
      <c r="C79" s="252">
        <f>IF(A79&lt;='Indicadores Financeiros'!$F$14,SUMIFS('Relatório Custo'!$V:$V,'Relatório Custo'!$H:$H,'Custo  Resumido por local'!$C$54,'Relatório Custo'!$W:$W,"&lt;="&amp;'Custo  Resumido por local'!$A79,'Relatório Custo'!$C:$C,'Custo  Resumido por local'!$C$1),0)</f>
        <v>160808.65</v>
      </c>
      <c r="D79" s="253"/>
      <c r="E79" s="471"/>
      <c r="F79" s="472"/>
      <c r="G79" s="471"/>
      <c r="H79" s="472"/>
      <c r="I79" s="78">
        <f t="shared" si="0"/>
        <v>160808.65</v>
      </c>
      <c r="J79" s="78">
        <f>IF(A79&lt;='Indicadores Financeiros'!$F$14,SUMIFS('Relatório Custo'!$Z:$Z,'Relatório Custo'!$W:$W,"&lt;="&amp;'Custo  Resumido por local'!$A79,'Relatório Custo'!$C:$C,'Custo  Resumido por local'!$C$1),0)</f>
        <v>47606.240000000005</v>
      </c>
      <c r="K79" s="110">
        <f>ROUND(IF(A79&lt;='Indicadores Financeiros'!$F$14,SUMIFS('Relatório Custo'!$AA:$AA,'Relatório Custo'!$W:$W,"&lt;="&amp;'Custo  Resumido por local'!$A79,'Relatório Custo'!$C:$C,'Custo  Resumido por local'!$C$1),0),2)</f>
        <v>15229.24</v>
      </c>
      <c r="L79" s="98"/>
    </row>
    <row r="80" spans="1:193" s="76" customFormat="1" ht="13.9" customHeight="1" x14ac:dyDescent="0.25">
      <c r="A80" s="476">
        <v>26</v>
      </c>
      <c r="B80" s="477"/>
      <c r="C80" s="252">
        <f>IF(A80&lt;='Indicadores Financeiros'!$F$14,SUMIFS('Relatório Custo'!$V:$V,'Relatório Custo'!$H:$H,'Custo  Resumido por local'!$C$54,'Relatório Custo'!$W:$W,"&lt;="&amp;'Custo  Resumido por local'!$A80,'Relatório Custo'!$C:$C,'Custo  Resumido por local'!$C$1),0)</f>
        <v>160808.65</v>
      </c>
      <c r="D80" s="253"/>
      <c r="E80" s="471">
        <f>IF(A80&lt;='Indicadores Financeiros'!$F$14,SUMIFS('Relatório Custo'!$V:$V,'Relatório Custo'!$H:$H,'Custo  Resumido por local'!$E$54,'Relatório Custo'!$W:$W,"&lt;="&amp;'Custo  Resumido por local'!$A80,'Relatório Custo'!$C:$C,'Custo  Resumido por local'!$C$1),0)</f>
        <v>5.12</v>
      </c>
      <c r="F80" s="472"/>
      <c r="G80" s="471"/>
      <c r="H80" s="472"/>
      <c r="I80" s="78">
        <f t="shared" si="0"/>
        <v>160813.76999999999</v>
      </c>
      <c r="J80" s="78">
        <f>IF(A80&lt;='Indicadores Financeiros'!$F$14,SUMIFS('Relatório Custo'!$Z:$Z,'Relatório Custo'!$W:$W,"&lt;="&amp;'Custo  Resumido por local'!$A80,'Relatório Custo'!$C:$C,'Custo  Resumido por local'!$C$1),0)</f>
        <v>47606.240000000005</v>
      </c>
      <c r="K80" s="110">
        <f>ROUND(IF(A80&lt;='Indicadores Financeiros'!$F$14,SUMIFS('Relatório Custo'!$AA:$AA,'Relatório Custo'!$W:$W,"&lt;="&amp;'Custo  Resumido por local'!$A80,'Relatório Custo'!$C:$C,'Custo  Resumido por local'!$C$1),0),2)</f>
        <v>15229.24</v>
      </c>
      <c r="L80" s="98"/>
    </row>
    <row r="81" spans="1:13" s="76" customFormat="1" ht="13.9" customHeight="1" x14ac:dyDescent="0.25">
      <c r="A81" s="476">
        <v>27</v>
      </c>
      <c r="B81" s="477"/>
      <c r="C81" s="252">
        <f>IF(A81&lt;='Indicadores Financeiros'!$F$14,SUMIFS('Relatório Custo'!$V:$V,'Relatório Custo'!$H:$H,'Custo  Resumido por local'!$C$54,'Relatório Custo'!$W:$W,"&lt;="&amp;'Custo  Resumido por local'!$A81,'Relatório Custo'!$C:$C,'Custo  Resumido por local'!$C$1),0)</f>
        <v>160808.65</v>
      </c>
      <c r="D81" s="253"/>
      <c r="E81" s="471"/>
      <c r="F81" s="472"/>
      <c r="G81" s="471"/>
      <c r="H81" s="472"/>
      <c r="I81" s="78">
        <f t="shared" si="0"/>
        <v>160808.65</v>
      </c>
      <c r="J81" s="78">
        <f>IF(A81&lt;='Indicadores Financeiros'!$F$14,SUMIFS('Relatório Custo'!$Z:$Z,'Relatório Custo'!$W:$W,"&lt;="&amp;'Custo  Resumido por local'!$A81,'Relatório Custo'!$C:$C,'Custo  Resumido por local'!$C$1),0)</f>
        <v>47606.240000000005</v>
      </c>
      <c r="K81" s="110">
        <f>ROUND(IF(A81&lt;='Indicadores Financeiros'!$F$14,SUMIFS('Relatório Custo'!$AA:$AA,'Relatório Custo'!$W:$W,"&lt;="&amp;'Custo  Resumido por local'!$A81,'Relatório Custo'!$C:$C,'Custo  Resumido por local'!$C$1),0),2)</f>
        <v>15229.24</v>
      </c>
      <c r="L81" s="98"/>
    </row>
    <row r="82" spans="1:13" s="76" customFormat="1" ht="13.9" customHeight="1" x14ac:dyDescent="0.25">
      <c r="A82" s="476">
        <v>28</v>
      </c>
      <c r="B82" s="477"/>
      <c r="C82" s="252">
        <f>IF(A82&lt;='Indicadores Financeiros'!$F$14,SUMIFS('Relatório Custo'!$V:$V,'Relatório Custo'!$H:$H,'Custo  Resumido por local'!$C$54,'Relatório Custo'!$W:$W,"&lt;="&amp;'Custo  Resumido por local'!$A82,'Relatório Custo'!$C:$C,'Custo  Resumido por local'!$C$1),0)</f>
        <v>160808.65</v>
      </c>
      <c r="D82" s="253"/>
      <c r="E82" s="471"/>
      <c r="F82" s="472"/>
      <c r="G82" s="471"/>
      <c r="H82" s="472"/>
      <c r="I82" s="78">
        <f t="shared" si="0"/>
        <v>160808.65</v>
      </c>
      <c r="J82" s="78">
        <f>IF(A82&lt;='Indicadores Financeiros'!$F$14,SUMIFS('Relatório Custo'!$Z:$Z,'Relatório Custo'!$W:$W,"&lt;="&amp;'Custo  Resumido por local'!$A82,'Relatório Custo'!$C:$C,'Custo  Resumido por local'!$C$1),0)</f>
        <v>47606.240000000005</v>
      </c>
      <c r="K82" s="110">
        <f>ROUND(IF(A82&lt;='Indicadores Financeiros'!$F$14,SUMIFS('Relatório Custo'!$AA:$AA,'Relatório Custo'!$W:$W,"&lt;="&amp;'Custo  Resumido por local'!$A82,'Relatório Custo'!$C:$C,'Custo  Resumido por local'!$C$1),0),2)</f>
        <v>15229.24</v>
      </c>
      <c r="L82" s="98"/>
    </row>
    <row r="83" spans="1:13" s="76" customFormat="1" ht="13.9" customHeight="1" x14ac:dyDescent="0.25">
      <c r="A83" s="476">
        <v>29</v>
      </c>
      <c r="B83" s="477"/>
      <c r="C83" s="252">
        <f>IF(A83&lt;='Indicadores Financeiros'!$F$14,SUMIFS('Relatório Custo'!$V:$V,'Relatório Custo'!$H:$H,'Custo  Resumido por local'!$C$54,'Relatório Custo'!$W:$W,"&lt;="&amp;'Custo  Resumido por local'!$A83,'Relatório Custo'!$C:$C,'Custo  Resumido por local'!$C$1),0)</f>
        <v>160808.65</v>
      </c>
      <c r="D83" s="253"/>
      <c r="E83" s="471">
        <f>IF(A83&lt;='Indicadores Financeiros'!$F$14,SUMIFS('Relatório Custo'!$V:$V,'Relatório Custo'!$H:$H,'Custo  Resumido por local'!$E$54,'Relatório Custo'!$W:$W,"&lt;="&amp;'Custo  Resumido por local'!$A83,'Relatório Custo'!$C:$C,'Custo  Resumido por local'!$C$1),0)</f>
        <v>5.12</v>
      </c>
      <c r="F83" s="472"/>
      <c r="G83" s="471"/>
      <c r="H83" s="472"/>
      <c r="I83" s="78">
        <f t="shared" si="0"/>
        <v>160813.76999999999</v>
      </c>
      <c r="J83" s="78">
        <f>IF(A83&lt;='Indicadores Financeiros'!$F$14,SUMIFS('Relatório Custo'!$Z:$Z,'Relatório Custo'!$W:$W,"&lt;="&amp;'Custo  Resumido por local'!$A83,'Relatório Custo'!$C:$C,'Custo  Resumido por local'!$C$1),0)</f>
        <v>47606.240000000005</v>
      </c>
      <c r="K83" s="110">
        <f>ROUND(IF(A83&lt;='Indicadores Financeiros'!$F$14,SUMIFS('Relatório Custo'!$AA:$AA,'Relatório Custo'!$W:$W,"&lt;="&amp;'Custo  Resumido por local'!$A83,'Relatório Custo'!$C:$C,'Custo  Resumido por local'!$C$1),0),2)</f>
        <v>15229.24</v>
      </c>
      <c r="L83" s="98"/>
    </row>
    <row r="84" spans="1:13" s="76" customFormat="1" ht="13.9" customHeight="1" x14ac:dyDescent="0.25">
      <c r="A84" s="476">
        <v>30</v>
      </c>
      <c r="B84" s="477"/>
      <c r="C84" s="252">
        <f>IF(A84&lt;='Indicadores Financeiros'!$F$14,SUMIFS('Relatório Custo'!$V:$V,'Relatório Custo'!$H:$H,'Custo  Resumido por local'!$C$54,'Relatório Custo'!$W:$W,"&lt;="&amp;'Custo  Resumido por local'!$A84,'Relatório Custo'!$C:$C,'Custo  Resumido por local'!$C$1),0)</f>
        <v>160808.65</v>
      </c>
      <c r="D84" s="253"/>
      <c r="E84" s="471"/>
      <c r="F84" s="472"/>
      <c r="G84" s="471"/>
      <c r="H84" s="472"/>
      <c r="I84" s="78">
        <f t="shared" si="0"/>
        <v>160808.65</v>
      </c>
      <c r="J84" s="78">
        <f>IF(A84&lt;='Indicadores Financeiros'!$F$14,SUMIFS('Relatório Custo'!$Z:$Z,'Relatório Custo'!$W:$W,"&lt;="&amp;'Custo  Resumido por local'!$A84,'Relatório Custo'!$C:$C,'Custo  Resumido por local'!$C$1),0)</f>
        <v>47606.240000000005</v>
      </c>
      <c r="K84" s="110">
        <f>ROUND(IF(A84&lt;='Indicadores Financeiros'!$F$14,SUMIFS('Relatório Custo'!$AA:$AA,'Relatório Custo'!$W:$W,"&lt;="&amp;'Custo  Resumido por local'!$A84,'Relatório Custo'!$C:$C,'Custo  Resumido por local'!$C$1),0),2)</f>
        <v>15229.24</v>
      </c>
      <c r="L84" s="98"/>
    </row>
    <row r="85" spans="1:13" s="76" customFormat="1" ht="13.9" customHeight="1" x14ac:dyDescent="0.25">
      <c r="A85" s="177" t="s">
        <v>236</v>
      </c>
      <c r="B85" s="177"/>
      <c r="C85" s="469">
        <f>ROUND(SUM(C55:D84),2)</f>
        <v>4824259.5</v>
      </c>
      <c r="D85" s="470"/>
      <c r="E85" s="469">
        <f>ROUND(SUM(E55:F84),2)</f>
        <v>51.2</v>
      </c>
      <c r="F85" s="470"/>
      <c r="G85" s="469">
        <f>ROUND(SUM(G55:H84),2)</f>
        <v>2624.5</v>
      </c>
      <c r="H85" s="470"/>
      <c r="I85" s="150">
        <f t="shared" ref="I85:K85" si="1">ROUND(SUM(I55:I84),2)</f>
        <v>4826935.2</v>
      </c>
      <c r="J85" s="150">
        <f t="shared" si="1"/>
        <v>1428187.2</v>
      </c>
      <c r="K85" s="150">
        <f t="shared" si="1"/>
        <v>456877.2</v>
      </c>
      <c r="L85" s="98"/>
      <c r="M85" s="79"/>
    </row>
    <row r="86" spans="1:13" s="76" customFormat="1" ht="11.25" x14ac:dyDescent="0.25">
      <c r="C86" s="99"/>
      <c r="D86" s="236"/>
      <c r="E86" s="99"/>
      <c r="F86" s="99"/>
      <c r="G86" s="99"/>
      <c r="H86" s="99"/>
      <c r="I86" s="148">
        <f>I85-K41</f>
        <v>0</v>
      </c>
      <c r="J86" s="99"/>
      <c r="K86" s="148"/>
    </row>
    <row r="87" spans="1:13" s="76" customFormat="1" ht="11.25" x14ac:dyDescent="0.25">
      <c r="D87" s="237"/>
      <c r="K87" s="79"/>
    </row>
    <row r="88" spans="1:13" s="76" customFormat="1" ht="11.25" x14ac:dyDescent="0.25">
      <c r="D88" s="237"/>
    </row>
    <row r="89" spans="1:13" s="76" customFormat="1" ht="11.25" x14ac:dyDescent="0.25">
      <c r="D89" s="237"/>
    </row>
    <row r="90" spans="1:13" s="76" customFormat="1" ht="11.25" x14ac:dyDescent="0.25">
      <c r="D90" s="237"/>
    </row>
    <row r="91" spans="1:13" s="76" customFormat="1" ht="11.25" x14ac:dyDescent="0.25">
      <c r="D91" s="237"/>
    </row>
    <row r="92" spans="1:13" s="76" customFormat="1" ht="11.25" x14ac:dyDescent="0.25">
      <c r="D92" s="237"/>
    </row>
    <row r="93" spans="1:13" s="76" customFormat="1" ht="11.25" x14ac:dyDescent="0.25">
      <c r="D93" s="237"/>
    </row>
    <row r="94" spans="1:13" s="76" customFormat="1" ht="11.25" x14ac:dyDescent="0.25">
      <c r="D94" s="237"/>
    </row>
    <row r="95" spans="1:13" s="76" customFormat="1" ht="11.25" x14ac:dyDescent="0.25">
      <c r="D95" s="237"/>
    </row>
    <row r="96" spans="1:13" s="76" customFormat="1" ht="11.25" x14ac:dyDescent="0.25">
      <c r="D96" s="237"/>
    </row>
    <row r="97" spans="4:4" s="76" customFormat="1" ht="11.25" x14ac:dyDescent="0.25">
      <c r="D97" s="237"/>
    </row>
    <row r="98" spans="4:4" s="76" customFormat="1" ht="11.25" x14ac:dyDescent="0.25">
      <c r="D98" s="237"/>
    </row>
    <row r="99" spans="4:4" s="76" customFormat="1" ht="11.25" x14ac:dyDescent="0.25">
      <c r="D99" s="237"/>
    </row>
    <row r="100" spans="4:4" s="76" customFormat="1" ht="11.25" x14ac:dyDescent="0.25">
      <c r="D100" s="237"/>
    </row>
    <row r="101" spans="4:4" s="76" customFormat="1" ht="11.25" x14ac:dyDescent="0.25">
      <c r="D101" s="237"/>
    </row>
    <row r="102" spans="4:4" s="76" customFormat="1" ht="11.25" x14ac:dyDescent="0.25">
      <c r="D102" s="237"/>
    </row>
    <row r="103" spans="4:4" s="76" customFormat="1" ht="11.25" x14ac:dyDescent="0.25">
      <c r="D103" s="237"/>
    </row>
    <row r="104" spans="4:4" s="76" customFormat="1" ht="11.25" x14ac:dyDescent="0.25">
      <c r="D104" s="237"/>
    </row>
    <row r="105" spans="4:4" s="76" customFormat="1" ht="11.25" x14ac:dyDescent="0.25">
      <c r="D105" s="237"/>
    </row>
    <row r="106" spans="4:4" s="76" customFormat="1" ht="11.25" x14ac:dyDescent="0.25">
      <c r="D106" s="237"/>
    </row>
    <row r="107" spans="4:4" s="76" customFormat="1" ht="11.25" x14ac:dyDescent="0.25">
      <c r="D107" s="237"/>
    </row>
    <row r="108" spans="4:4" s="76" customFormat="1" ht="11.25" x14ac:dyDescent="0.25">
      <c r="D108" s="237"/>
    </row>
    <row r="109" spans="4:4" s="76" customFormat="1" ht="11.25" x14ac:dyDescent="0.25">
      <c r="D109" s="237"/>
    </row>
    <row r="110" spans="4:4" s="76" customFormat="1" ht="11.25" x14ac:dyDescent="0.25">
      <c r="D110" s="237"/>
    </row>
    <row r="111" spans="4:4" s="76" customFormat="1" ht="11.25" x14ac:dyDescent="0.25">
      <c r="D111" s="237"/>
    </row>
    <row r="112" spans="4:4" s="76" customFormat="1" ht="11.25" x14ac:dyDescent="0.25">
      <c r="D112" s="237"/>
    </row>
    <row r="113" spans="4:4" s="76" customFormat="1" ht="11.25" x14ac:dyDescent="0.25">
      <c r="D113" s="237"/>
    </row>
    <row r="114" spans="4:4" s="76" customFormat="1" ht="11.25" x14ac:dyDescent="0.25">
      <c r="D114" s="237"/>
    </row>
    <row r="115" spans="4:4" s="76" customFormat="1" ht="11.25" x14ac:dyDescent="0.25">
      <c r="D115" s="237"/>
    </row>
    <row r="116" spans="4:4" s="76" customFormat="1" ht="11.25" x14ac:dyDescent="0.25">
      <c r="D116" s="237"/>
    </row>
    <row r="117" spans="4:4" s="76" customFormat="1" ht="11.25" x14ac:dyDescent="0.25">
      <c r="D117" s="237"/>
    </row>
    <row r="118" spans="4:4" s="76" customFormat="1" ht="11.25" x14ac:dyDescent="0.25">
      <c r="D118" s="237"/>
    </row>
    <row r="119" spans="4:4" s="76" customFormat="1" ht="11.25" x14ac:dyDescent="0.25">
      <c r="D119" s="237"/>
    </row>
    <row r="120" spans="4:4" s="76" customFormat="1" ht="11.25" x14ac:dyDescent="0.25">
      <c r="D120" s="237"/>
    </row>
    <row r="121" spans="4:4" s="76" customFormat="1" ht="11.25" x14ac:dyDescent="0.25">
      <c r="D121" s="237"/>
    </row>
    <row r="122" spans="4:4" s="76" customFormat="1" ht="11.25" x14ac:dyDescent="0.25">
      <c r="D122" s="237"/>
    </row>
    <row r="123" spans="4:4" s="76" customFormat="1" ht="11.25" x14ac:dyDescent="0.25">
      <c r="D123" s="237"/>
    </row>
    <row r="124" spans="4:4" s="76" customFormat="1" ht="11.25" x14ac:dyDescent="0.25">
      <c r="D124" s="237"/>
    </row>
    <row r="125" spans="4:4" s="76" customFormat="1" ht="11.25" x14ac:dyDescent="0.25">
      <c r="D125" s="237"/>
    </row>
    <row r="126" spans="4:4" s="76" customFormat="1" ht="11.25" x14ac:dyDescent="0.25">
      <c r="D126" s="237"/>
    </row>
    <row r="127" spans="4:4" s="76" customFormat="1" ht="11.25" x14ac:dyDescent="0.25">
      <c r="D127" s="237"/>
    </row>
    <row r="128" spans="4:4" s="76" customFormat="1" ht="11.25" x14ac:dyDescent="0.25">
      <c r="D128" s="237"/>
    </row>
    <row r="129" spans="4:4" s="76" customFormat="1" ht="11.25" x14ac:dyDescent="0.25">
      <c r="D129" s="237"/>
    </row>
    <row r="130" spans="4:4" s="76" customFormat="1" ht="11.25" x14ac:dyDescent="0.25">
      <c r="D130" s="237"/>
    </row>
    <row r="131" spans="4:4" s="76" customFormat="1" ht="11.25" x14ac:dyDescent="0.25">
      <c r="D131" s="237"/>
    </row>
    <row r="132" spans="4:4" s="76" customFormat="1" ht="11.25" x14ac:dyDescent="0.25">
      <c r="D132" s="237"/>
    </row>
    <row r="133" spans="4:4" s="76" customFormat="1" ht="11.25" x14ac:dyDescent="0.25">
      <c r="D133" s="237"/>
    </row>
    <row r="134" spans="4:4" s="76" customFormat="1" ht="11.25" x14ac:dyDescent="0.25">
      <c r="D134" s="237"/>
    </row>
    <row r="135" spans="4:4" s="76" customFormat="1" ht="11.25" x14ac:dyDescent="0.25">
      <c r="D135" s="237"/>
    </row>
    <row r="136" spans="4:4" s="76" customFormat="1" ht="11.25" x14ac:dyDescent="0.25">
      <c r="D136" s="237"/>
    </row>
    <row r="137" spans="4:4" s="76" customFormat="1" ht="11.25" x14ac:dyDescent="0.25">
      <c r="D137" s="237"/>
    </row>
    <row r="138" spans="4:4" s="76" customFormat="1" ht="11.25" x14ac:dyDescent="0.25">
      <c r="D138" s="237"/>
    </row>
    <row r="139" spans="4:4" s="76" customFormat="1" ht="11.25" x14ac:dyDescent="0.25">
      <c r="D139" s="237"/>
    </row>
    <row r="140" spans="4:4" s="76" customFormat="1" ht="11.25" x14ac:dyDescent="0.25">
      <c r="D140" s="237"/>
    </row>
    <row r="141" spans="4:4" s="76" customFormat="1" ht="11.25" x14ac:dyDescent="0.25">
      <c r="D141" s="237"/>
    </row>
    <row r="142" spans="4:4" s="76" customFormat="1" ht="11.25" x14ac:dyDescent="0.25">
      <c r="D142" s="237"/>
    </row>
    <row r="143" spans="4:4" s="76" customFormat="1" ht="11.25" x14ac:dyDescent="0.25">
      <c r="D143" s="237"/>
    </row>
    <row r="144" spans="4:4" s="76" customFormat="1" ht="11.25" x14ac:dyDescent="0.25">
      <c r="D144" s="237"/>
    </row>
    <row r="145" spans="4:4" s="76" customFormat="1" ht="11.25" x14ac:dyDescent="0.25">
      <c r="D145" s="237"/>
    </row>
    <row r="146" spans="4:4" s="76" customFormat="1" ht="11.25" x14ac:dyDescent="0.25">
      <c r="D146" s="237"/>
    </row>
    <row r="147" spans="4:4" s="76" customFormat="1" ht="11.25" x14ac:dyDescent="0.25">
      <c r="D147" s="237"/>
    </row>
    <row r="148" spans="4:4" s="76" customFormat="1" ht="11.25" x14ac:dyDescent="0.25">
      <c r="D148" s="237"/>
    </row>
    <row r="149" spans="4:4" s="76" customFormat="1" ht="11.25" x14ac:dyDescent="0.25">
      <c r="D149" s="237"/>
    </row>
    <row r="150" spans="4:4" s="76" customFormat="1" ht="11.25" x14ac:dyDescent="0.25">
      <c r="D150" s="237"/>
    </row>
    <row r="151" spans="4:4" s="76" customFormat="1" ht="11.25" x14ac:dyDescent="0.25">
      <c r="D151" s="237"/>
    </row>
    <row r="152" spans="4:4" s="76" customFormat="1" ht="11.25" x14ac:dyDescent="0.25">
      <c r="D152" s="237"/>
    </row>
    <row r="153" spans="4:4" s="76" customFormat="1" ht="11.25" x14ac:dyDescent="0.25">
      <c r="D153" s="237"/>
    </row>
    <row r="154" spans="4:4" s="76" customFormat="1" ht="11.25" x14ac:dyDescent="0.25">
      <c r="D154" s="237"/>
    </row>
    <row r="155" spans="4:4" s="76" customFormat="1" ht="11.25" x14ac:dyDescent="0.25">
      <c r="D155" s="237"/>
    </row>
    <row r="156" spans="4:4" s="76" customFormat="1" ht="11.25" x14ac:dyDescent="0.25">
      <c r="D156" s="237"/>
    </row>
    <row r="157" spans="4:4" s="76" customFormat="1" ht="11.25" x14ac:dyDescent="0.25">
      <c r="D157" s="237"/>
    </row>
    <row r="158" spans="4:4" s="76" customFormat="1" ht="11.25" x14ac:dyDescent="0.25">
      <c r="D158" s="237"/>
    </row>
    <row r="159" spans="4:4" s="76" customFormat="1" ht="11.25" x14ac:dyDescent="0.25">
      <c r="D159" s="237"/>
    </row>
    <row r="160" spans="4:4" s="76" customFormat="1" ht="11.25" x14ac:dyDescent="0.25">
      <c r="D160" s="237"/>
    </row>
    <row r="161" spans="4:4" s="76" customFormat="1" ht="11.25" x14ac:dyDescent="0.25">
      <c r="D161" s="237"/>
    </row>
    <row r="162" spans="4:4" s="76" customFormat="1" ht="11.25" x14ac:dyDescent="0.25">
      <c r="D162" s="237"/>
    </row>
    <row r="163" spans="4:4" s="76" customFormat="1" ht="11.25" x14ac:dyDescent="0.25">
      <c r="D163" s="237"/>
    </row>
    <row r="164" spans="4:4" s="76" customFormat="1" ht="11.25" x14ac:dyDescent="0.25">
      <c r="D164" s="237"/>
    </row>
    <row r="165" spans="4:4" s="76" customFormat="1" ht="11.25" x14ac:dyDescent="0.25">
      <c r="D165" s="237"/>
    </row>
    <row r="166" spans="4:4" s="76" customFormat="1" ht="11.25" x14ac:dyDescent="0.25">
      <c r="D166" s="237"/>
    </row>
    <row r="167" spans="4:4" s="76" customFormat="1" ht="11.25" x14ac:dyDescent="0.25">
      <c r="D167" s="237"/>
    </row>
    <row r="168" spans="4:4" s="76" customFormat="1" ht="11.25" x14ac:dyDescent="0.25">
      <c r="D168" s="237"/>
    </row>
    <row r="169" spans="4:4" s="76" customFormat="1" ht="11.25" x14ac:dyDescent="0.25">
      <c r="D169" s="237"/>
    </row>
    <row r="170" spans="4:4" s="76" customFormat="1" ht="11.25" x14ac:dyDescent="0.25">
      <c r="D170" s="237"/>
    </row>
    <row r="171" spans="4:4" s="76" customFormat="1" ht="11.25" x14ac:dyDescent="0.25">
      <c r="D171" s="237"/>
    </row>
    <row r="172" spans="4:4" s="76" customFormat="1" ht="11.25" x14ac:dyDescent="0.25">
      <c r="D172" s="237"/>
    </row>
    <row r="173" spans="4:4" s="76" customFormat="1" ht="11.25" x14ac:dyDescent="0.25">
      <c r="D173" s="237"/>
    </row>
    <row r="174" spans="4:4" s="76" customFormat="1" ht="11.25" x14ac:dyDescent="0.25">
      <c r="D174" s="237"/>
    </row>
    <row r="175" spans="4:4" s="76" customFormat="1" ht="11.25" x14ac:dyDescent="0.25">
      <c r="D175" s="237"/>
    </row>
    <row r="176" spans="4:4" s="76" customFormat="1" ht="11.25" x14ac:dyDescent="0.25">
      <c r="D176" s="237"/>
    </row>
    <row r="177" spans="4:4" s="76" customFormat="1" ht="11.25" x14ac:dyDescent="0.25">
      <c r="D177" s="237"/>
    </row>
    <row r="178" spans="4:4" s="76" customFormat="1" ht="11.25" x14ac:dyDescent="0.25">
      <c r="D178" s="237"/>
    </row>
    <row r="179" spans="4:4" s="76" customFormat="1" ht="11.25" x14ac:dyDescent="0.25">
      <c r="D179" s="237"/>
    </row>
    <row r="180" spans="4:4" s="76" customFormat="1" ht="11.25" x14ac:dyDescent="0.25">
      <c r="D180" s="237"/>
    </row>
    <row r="181" spans="4:4" s="76" customFormat="1" ht="11.25" x14ac:dyDescent="0.25">
      <c r="D181" s="237"/>
    </row>
    <row r="182" spans="4:4" s="76" customFormat="1" ht="11.25" x14ac:dyDescent="0.25">
      <c r="D182" s="237"/>
    </row>
    <row r="183" spans="4:4" s="76" customFormat="1" ht="11.25" x14ac:dyDescent="0.25">
      <c r="D183" s="237"/>
    </row>
    <row r="184" spans="4:4" s="76" customFormat="1" ht="11.25" x14ac:dyDescent="0.25">
      <c r="D184" s="237"/>
    </row>
    <row r="185" spans="4:4" s="76" customFormat="1" ht="11.25" x14ac:dyDescent="0.25">
      <c r="D185" s="237"/>
    </row>
    <row r="186" spans="4:4" s="76" customFormat="1" ht="11.25" x14ac:dyDescent="0.25">
      <c r="D186" s="237"/>
    </row>
    <row r="187" spans="4:4" s="76" customFormat="1" ht="11.25" x14ac:dyDescent="0.25">
      <c r="D187" s="237"/>
    </row>
    <row r="188" spans="4:4" s="76" customFormat="1" ht="11.25" x14ac:dyDescent="0.25">
      <c r="D188" s="237"/>
    </row>
    <row r="189" spans="4:4" s="76" customFormat="1" ht="11.25" x14ac:dyDescent="0.25">
      <c r="D189" s="237"/>
    </row>
    <row r="190" spans="4:4" s="76" customFormat="1" ht="11.25" x14ac:dyDescent="0.25">
      <c r="D190" s="237"/>
    </row>
    <row r="191" spans="4:4" s="76" customFormat="1" ht="11.25" x14ac:dyDescent="0.25">
      <c r="D191" s="237"/>
    </row>
    <row r="192" spans="4:4" s="76" customFormat="1" ht="11.25" x14ac:dyDescent="0.25">
      <c r="D192" s="237"/>
    </row>
    <row r="193" spans="4:4" s="76" customFormat="1" ht="11.25" x14ac:dyDescent="0.25">
      <c r="D193" s="237"/>
    </row>
    <row r="194" spans="4:4" s="76" customFormat="1" ht="11.25" x14ac:dyDescent="0.25">
      <c r="D194" s="237"/>
    </row>
    <row r="195" spans="4:4" s="76" customFormat="1" ht="11.25" x14ac:dyDescent="0.25">
      <c r="D195" s="237"/>
    </row>
    <row r="196" spans="4:4" s="76" customFormat="1" ht="11.25" x14ac:dyDescent="0.25">
      <c r="D196" s="237"/>
    </row>
    <row r="197" spans="4:4" s="76" customFormat="1" ht="11.25" x14ac:dyDescent="0.25">
      <c r="D197" s="237"/>
    </row>
    <row r="198" spans="4:4" s="76" customFormat="1" ht="11.25" x14ac:dyDescent="0.25">
      <c r="D198" s="237"/>
    </row>
    <row r="199" spans="4:4" s="76" customFormat="1" ht="11.25" x14ac:dyDescent="0.25">
      <c r="D199" s="237"/>
    </row>
    <row r="200" spans="4:4" s="76" customFormat="1" ht="11.25" x14ac:dyDescent="0.25">
      <c r="D200" s="237"/>
    </row>
    <row r="201" spans="4:4" s="76" customFormat="1" ht="11.25" x14ac:dyDescent="0.25">
      <c r="D201" s="237"/>
    </row>
    <row r="202" spans="4:4" s="76" customFormat="1" ht="11.25" x14ac:dyDescent="0.25">
      <c r="D202" s="237"/>
    </row>
    <row r="203" spans="4:4" s="76" customFormat="1" ht="11.25" x14ac:dyDescent="0.25">
      <c r="D203" s="237"/>
    </row>
    <row r="204" spans="4:4" s="76" customFormat="1" ht="11.25" x14ac:dyDescent="0.25">
      <c r="D204" s="237"/>
    </row>
    <row r="205" spans="4:4" s="76" customFormat="1" ht="11.25" x14ac:dyDescent="0.25">
      <c r="D205" s="237"/>
    </row>
    <row r="206" spans="4:4" s="76" customFormat="1" ht="11.25" x14ac:dyDescent="0.25">
      <c r="D206" s="237"/>
    </row>
    <row r="207" spans="4:4" s="76" customFormat="1" ht="11.25" x14ac:dyDescent="0.25">
      <c r="D207" s="237"/>
    </row>
    <row r="208" spans="4:4" s="76" customFormat="1" ht="11.25" x14ac:dyDescent="0.25">
      <c r="D208" s="237"/>
    </row>
    <row r="209" spans="4:4" s="76" customFormat="1" ht="11.25" x14ac:dyDescent="0.25">
      <c r="D209" s="237"/>
    </row>
    <row r="210" spans="4:4" s="76" customFormat="1" ht="11.25" x14ac:dyDescent="0.25">
      <c r="D210" s="237"/>
    </row>
    <row r="211" spans="4:4" s="76" customFormat="1" ht="11.25" x14ac:dyDescent="0.25">
      <c r="D211" s="237"/>
    </row>
    <row r="212" spans="4:4" s="76" customFormat="1" ht="11.25" x14ac:dyDescent="0.25">
      <c r="D212" s="237"/>
    </row>
    <row r="213" spans="4:4" s="76" customFormat="1" ht="11.25" x14ac:dyDescent="0.25">
      <c r="D213" s="237"/>
    </row>
    <row r="214" spans="4:4" s="76" customFormat="1" ht="11.25" x14ac:dyDescent="0.25">
      <c r="D214" s="237"/>
    </row>
    <row r="215" spans="4:4" s="76" customFormat="1" ht="11.25" x14ac:dyDescent="0.25">
      <c r="D215" s="237"/>
    </row>
    <row r="216" spans="4:4" s="76" customFormat="1" ht="11.25" x14ac:dyDescent="0.25">
      <c r="D216" s="237"/>
    </row>
    <row r="217" spans="4:4" s="76" customFormat="1" ht="11.25" x14ac:dyDescent="0.25">
      <c r="D217" s="237"/>
    </row>
    <row r="218" spans="4:4" s="76" customFormat="1" ht="11.25" x14ac:dyDescent="0.25">
      <c r="D218" s="237"/>
    </row>
    <row r="219" spans="4:4" s="76" customFormat="1" ht="11.25" x14ac:dyDescent="0.25">
      <c r="D219" s="237"/>
    </row>
    <row r="220" spans="4:4" s="76" customFormat="1" ht="11.25" x14ac:dyDescent="0.25">
      <c r="D220" s="237"/>
    </row>
    <row r="221" spans="4:4" s="76" customFormat="1" ht="11.25" x14ac:dyDescent="0.25">
      <c r="D221" s="237"/>
    </row>
    <row r="222" spans="4:4" s="76" customFormat="1" ht="11.25" x14ac:dyDescent="0.25">
      <c r="D222" s="237"/>
    </row>
    <row r="223" spans="4:4" s="76" customFormat="1" ht="11.25" x14ac:dyDescent="0.25">
      <c r="D223" s="237"/>
    </row>
    <row r="224" spans="4:4" s="76" customFormat="1" ht="11.25" x14ac:dyDescent="0.25">
      <c r="D224" s="237"/>
    </row>
    <row r="225" spans="4:4" s="76" customFormat="1" ht="11.25" x14ac:dyDescent="0.25">
      <c r="D225" s="237"/>
    </row>
    <row r="226" spans="4:4" s="76" customFormat="1" ht="11.25" x14ac:dyDescent="0.25">
      <c r="D226" s="237"/>
    </row>
    <row r="227" spans="4:4" s="76" customFormat="1" ht="11.25" x14ac:dyDescent="0.25">
      <c r="D227" s="237"/>
    </row>
    <row r="228" spans="4:4" s="76" customFormat="1" ht="11.25" x14ac:dyDescent="0.25">
      <c r="D228" s="237"/>
    </row>
    <row r="229" spans="4:4" s="76" customFormat="1" ht="11.25" x14ac:dyDescent="0.25">
      <c r="D229" s="237"/>
    </row>
    <row r="230" spans="4:4" s="76" customFormat="1" ht="11.25" x14ac:dyDescent="0.25">
      <c r="D230" s="237"/>
    </row>
    <row r="231" spans="4:4" s="76" customFormat="1" ht="11.25" x14ac:dyDescent="0.25">
      <c r="D231" s="237"/>
    </row>
    <row r="232" spans="4:4" s="76" customFormat="1" ht="11.25" x14ac:dyDescent="0.25">
      <c r="D232" s="237"/>
    </row>
    <row r="233" spans="4:4" s="76" customFormat="1" ht="11.25" x14ac:dyDescent="0.25">
      <c r="D233" s="237"/>
    </row>
    <row r="234" spans="4:4" s="76" customFormat="1" ht="11.25" x14ac:dyDescent="0.25">
      <c r="D234" s="237"/>
    </row>
    <row r="235" spans="4:4" s="76" customFormat="1" ht="11.25" x14ac:dyDescent="0.25">
      <c r="D235" s="237"/>
    </row>
    <row r="236" spans="4:4" s="76" customFormat="1" ht="11.25" x14ac:dyDescent="0.25">
      <c r="D236" s="237"/>
    </row>
    <row r="237" spans="4:4" s="76" customFormat="1" ht="11.25" x14ac:dyDescent="0.25">
      <c r="D237" s="237"/>
    </row>
    <row r="238" spans="4:4" s="76" customFormat="1" ht="11.25" x14ac:dyDescent="0.25">
      <c r="D238" s="237"/>
    </row>
    <row r="239" spans="4:4" s="76" customFormat="1" ht="11.25" x14ac:dyDescent="0.25">
      <c r="D239" s="237"/>
    </row>
    <row r="240" spans="4:4" s="76" customFormat="1" ht="11.25" x14ac:dyDescent="0.25">
      <c r="D240" s="237"/>
    </row>
    <row r="241" spans="4:4" s="76" customFormat="1" ht="11.25" x14ac:dyDescent="0.25">
      <c r="D241" s="237"/>
    </row>
    <row r="242" spans="4:4" s="76" customFormat="1" ht="11.25" x14ac:dyDescent="0.25">
      <c r="D242" s="237"/>
    </row>
    <row r="243" spans="4:4" s="76" customFormat="1" ht="11.25" x14ac:dyDescent="0.25">
      <c r="D243" s="237"/>
    </row>
    <row r="244" spans="4:4" s="76" customFormat="1" ht="11.25" x14ac:dyDescent="0.25">
      <c r="D244" s="237"/>
    </row>
    <row r="245" spans="4:4" s="76" customFormat="1" ht="11.25" x14ac:dyDescent="0.25">
      <c r="D245" s="237"/>
    </row>
    <row r="246" spans="4:4" s="76" customFormat="1" ht="11.25" x14ac:dyDescent="0.25">
      <c r="D246" s="237"/>
    </row>
    <row r="247" spans="4:4" s="76" customFormat="1" ht="11.25" x14ac:dyDescent="0.25">
      <c r="D247" s="237"/>
    </row>
    <row r="248" spans="4:4" s="76" customFormat="1" ht="11.25" x14ac:dyDescent="0.25">
      <c r="D248" s="237"/>
    </row>
    <row r="249" spans="4:4" s="76" customFormat="1" ht="11.25" x14ac:dyDescent="0.25">
      <c r="D249" s="237"/>
    </row>
    <row r="250" spans="4:4" s="76" customFormat="1" ht="11.25" x14ac:dyDescent="0.25">
      <c r="D250" s="237"/>
    </row>
    <row r="251" spans="4:4" s="76" customFormat="1" ht="11.25" x14ac:dyDescent="0.25">
      <c r="D251" s="237"/>
    </row>
    <row r="252" spans="4:4" s="76" customFormat="1" ht="11.25" x14ac:dyDescent="0.25">
      <c r="D252" s="237"/>
    </row>
    <row r="253" spans="4:4" s="76" customFormat="1" ht="11.25" x14ac:dyDescent="0.25">
      <c r="D253" s="237"/>
    </row>
    <row r="254" spans="4:4" s="76" customFormat="1" ht="11.25" x14ac:dyDescent="0.25">
      <c r="D254" s="237"/>
    </row>
    <row r="255" spans="4:4" s="76" customFormat="1" ht="11.25" x14ac:dyDescent="0.25">
      <c r="D255" s="237"/>
    </row>
    <row r="256" spans="4:4" s="76" customFormat="1" ht="11.25" x14ac:dyDescent="0.25">
      <c r="D256" s="237"/>
    </row>
    <row r="257" spans="4:4" s="76" customFormat="1" ht="11.25" x14ac:dyDescent="0.25">
      <c r="D257" s="237"/>
    </row>
    <row r="258" spans="4:4" s="76" customFormat="1" ht="11.25" x14ac:dyDescent="0.25">
      <c r="D258" s="237"/>
    </row>
    <row r="259" spans="4:4" s="76" customFormat="1" ht="11.25" x14ac:dyDescent="0.25">
      <c r="D259" s="237"/>
    </row>
    <row r="260" spans="4:4" s="76" customFormat="1" ht="11.25" x14ac:dyDescent="0.25">
      <c r="D260" s="237"/>
    </row>
    <row r="261" spans="4:4" s="76" customFormat="1" ht="11.25" x14ac:dyDescent="0.25">
      <c r="D261" s="237"/>
    </row>
    <row r="262" spans="4:4" s="76" customFormat="1" ht="11.25" x14ac:dyDescent="0.25">
      <c r="D262" s="237"/>
    </row>
    <row r="263" spans="4:4" s="76" customFormat="1" ht="11.25" x14ac:dyDescent="0.25">
      <c r="D263" s="237"/>
    </row>
    <row r="264" spans="4:4" s="76" customFormat="1" ht="11.25" x14ac:dyDescent="0.25">
      <c r="D264" s="237"/>
    </row>
    <row r="265" spans="4:4" s="76" customFormat="1" ht="11.25" x14ac:dyDescent="0.25">
      <c r="D265" s="237"/>
    </row>
    <row r="266" spans="4:4" s="76" customFormat="1" ht="11.25" x14ac:dyDescent="0.25">
      <c r="D266" s="237"/>
    </row>
    <row r="267" spans="4:4" s="76" customFormat="1" ht="11.25" x14ac:dyDescent="0.25">
      <c r="D267" s="237"/>
    </row>
    <row r="268" spans="4:4" s="76" customFormat="1" ht="11.25" x14ac:dyDescent="0.25">
      <c r="D268" s="237"/>
    </row>
    <row r="269" spans="4:4" s="76" customFormat="1" ht="11.25" x14ac:dyDescent="0.25">
      <c r="D269" s="237"/>
    </row>
    <row r="270" spans="4:4" s="76" customFormat="1" ht="11.25" x14ac:dyDescent="0.25">
      <c r="D270" s="237"/>
    </row>
    <row r="271" spans="4:4" s="76" customFormat="1" ht="11.25" x14ac:dyDescent="0.25">
      <c r="D271" s="237"/>
    </row>
    <row r="272" spans="4:4" s="76" customFormat="1" ht="11.25" x14ac:dyDescent="0.25">
      <c r="D272" s="237"/>
    </row>
    <row r="273" spans="4:4" s="76" customFormat="1" ht="11.25" x14ac:dyDescent="0.25">
      <c r="D273" s="237"/>
    </row>
    <row r="274" spans="4:4" s="76" customFormat="1" ht="11.25" x14ac:dyDescent="0.25">
      <c r="D274" s="237"/>
    </row>
    <row r="275" spans="4:4" s="76" customFormat="1" ht="11.25" x14ac:dyDescent="0.25">
      <c r="D275" s="237"/>
    </row>
    <row r="276" spans="4:4" s="76" customFormat="1" ht="11.25" x14ac:dyDescent="0.25">
      <c r="D276" s="237"/>
    </row>
    <row r="277" spans="4:4" s="76" customFormat="1" ht="11.25" x14ac:dyDescent="0.25">
      <c r="D277" s="237"/>
    </row>
    <row r="278" spans="4:4" s="76" customFormat="1" ht="11.25" x14ac:dyDescent="0.25">
      <c r="D278" s="237"/>
    </row>
    <row r="279" spans="4:4" s="76" customFormat="1" ht="11.25" x14ac:dyDescent="0.25">
      <c r="D279" s="237"/>
    </row>
    <row r="280" spans="4:4" s="76" customFormat="1" ht="11.25" x14ac:dyDescent="0.25">
      <c r="D280" s="237"/>
    </row>
    <row r="281" spans="4:4" s="76" customFormat="1" ht="11.25" x14ac:dyDescent="0.25">
      <c r="D281" s="237"/>
    </row>
    <row r="282" spans="4:4" s="76" customFormat="1" ht="11.25" x14ac:dyDescent="0.25">
      <c r="D282" s="237"/>
    </row>
    <row r="283" spans="4:4" s="76" customFormat="1" ht="11.25" x14ac:dyDescent="0.25">
      <c r="D283" s="237"/>
    </row>
    <row r="284" spans="4:4" s="76" customFormat="1" ht="11.25" x14ac:dyDescent="0.25">
      <c r="D284" s="237"/>
    </row>
    <row r="285" spans="4:4" s="76" customFormat="1" ht="11.25" x14ac:dyDescent="0.25">
      <c r="D285" s="237"/>
    </row>
    <row r="286" spans="4:4" s="76" customFormat="1" ht="11.25" x14ac:dyDescent="0.25">
      <c r="D286" s="237"/>
    </row>
    <row r="287" spans="4:4" s="76" customFormat="1" ht="11.25" x14ac:dyDescent="0.25">
      <c r="D287" s="237"/>
    </row>
    <row r="288" spans="4:4" s="76" customFormat="1" ht="11.25" x14ac:dyDescent="0.25">
      <c r="D288" s="237"/>
    </row>
    <row r="289" spans="4:4" s="76" customFormat="1" ht="11.25" x14ac:dyDescent="0.25">
      <c r="D289" s="237"/>
    </row>
    <row r="290" spans="4:4" s="76" customFormat="1" ht="11.25" x14ac:dyDescent="0.25">
      <c r="D290" s="237"/>
    </row>
    <row r="291" spans="4:4" s="76" customFormat="1" ht="11.25" x14ac:dyDescent="0.25">
      <c r="D291" s="237"/>
    </row>
    <row r="292" spans="4:4" s="76" customFormat="1" ht="11.25" x14ac:dyDescent="0.25">
      <c r="D292" s="237"/>
    </row>
    <row r="293" spans="4:4" s="76" customFormat="1" ht="11.25" x14ac:dyDescent="0.25">
      <c r="D293" s="237"/>
    </row>
    <row r="294" spans="4:4" s="76" customFormat="1" ht="11.25" x14ac:dyDescent="0.25">
      <c r="D294" s="237"/>
    </row>
    <row r="295" spans="4:4" s="76" customFormat="1" ht="11.25" x14ac:dyDescent="0.25">
      <c r="D295" s="237"/>
    </row>
    <row r="296" spans="4:4" s="76" customFormat="1" ht="11.25" x14ac:dyDescent="0.25">
      <c r="D296" s="237"/>
    </row>
    <row r="297" spans="4:4" s="76" customFormat="1" ht="11.25" x14ac:dyDescent="0.25">
      <c r="D297" s="237"/>
    </row>
    <row r="298" spans="4:4" s="76" customFormat="1" ht="11.25" x14ac:dyDescent="0.25">
      <c r="D298" s="237"/>
    </row>
    <row r="299" spans="4:4" s="76" customFormat="1" ht="11.25" x14ac:dyDescent="0.25">
      <c r="D299" s="237"/>
    </row>
    <row r="300" spans="4:4" s="76" customFormat="1" ht="11.25" x14ac:dyDescent="0.25">
      <c r="D300" s="237"/>
    </row>
    <row r="301" spans="4:4" s="76" customFormat="1" ht="11.25" x14ac:dyDescent="0.25">
      <c r="D301" s="237"/>
    </row>
    <row r="302" spans="4:4" s="76" customFormat="1" ht="11.25" x14ac:dyDescent="0.25">
      <c r="D302" s="237"/>
    </row>
    <row r="303" spans="4:4" s="76" customFormat="1" ht="11.25" x14ac:dyDescent="0.25">
      <c r="D303" s="237"/>
    </row>
    <row r="304" spans="4:4" s="76" customFormat="1" ht="11.25" x14ac:dyDescent="0.25">
      <c r="D304" s="237"/>
    </row>
    <row r="305" spans="4:4" s="76" customFormat="1" ht="11.25" x14ac:dyDescent="0.25">
      <c r="D305" s="237"/>
    </row>
    <row r="306" spans="4:4" s="76" customFormat="1" ht="11.25" x14ac:dyDescent="0.25">
      <c r="D306" s="237"/>
    </row>
    <row r="307" spans="4:4" s="76" customFormat="1" ht="11.25" x14ac:dyDescent="0.25">
      <c r="D307" s="237"/>
    </row>
    <row r="308" spans="4:4" s="76" customFormat="1" ht="11.25" x14ac:dyDescent="0.25">
      <c r="D308" s="237"/>
    </row>
    <row r="309" spans="4:4" s="76" customFormat="1" ht="11.25" x14ac:dyDescent="0.25">
      <c r="D309" s="237"/>
    </row>
    <row r="310" spans="4:4" s="76" customFormat="1" ht="11.25" x14ac:dyDescent="0.25">
      <c r="D310" s="237"/>
    </row>
    <row r="311" spans="4:4" s="76" customFormat="1" ht="11.25" x14ac:dyDescent="0.25">
      <c r="D311" s="237"/>
    </row>
    <row r="312" spans="4:4" s="76" customFormat="1" ht="11.25" x14ac:dyDescent="0.25">
      <c r="D312" s="237"/>
    </row>
    <row r="313" spans="4:4" s="76" customFormat="1" ht="11.25" x14ac:dyDescent="0.25">
      <c r="D313" s="237"/>
    </row>
    <row r="314" spans="4:4" s="76" customFormat="1" ht="11.25" x14ac:dyDescent="0.25">
      <c r="D314" s="237"/>
    </row>
    <row r="315" spans="4:4" s="76" customFormat="1" ht="11.25" x14ac:dyDescent="0.25">
      <c r="D315" s="237"/>
    </row>
    <row r="316" spans="4:4" s="76" customFormat="1" ht="11.25" x14ac:dyDescent="0.25">
      <c r="D316" s="237"/>
    </row>
    <row r="317" spans="4:4" s="76" customFormat="1" ht="11.25" x14ac:dyDescent="0.25">
      <c r="D317" s="237"/>
    </row>
    <row r="318" spans="4:4" s="76" customFormat="1" ht="11.25" x14ac:dyDescent="0.25">
      <c r="D318" s="237"/>
    </row>
    <row r="319" spans="4:4" s="76" customFormat="1" ht="11.25" x14ac:dyDescent="0.25">
      <c r="D319" s="237"/>
    </row>
    <row r="320" spans="4:4" s="76" customFormat="1" ht="11.25" x14ac:dyDescent="0.25">
      <c r="D320" s="237"/>
    </row>
    <row r="321" spans="4:4" s="76" customFormat="1" ht="11.25" x14ac:dyDescent="0.25">
      <c r="D321" s="237"/>
    </row>
    <row r="322" spans="4:4" s="76" customFormat="1" ht="11.25" x14ac:dyDescent="0.25">
      <c r="D322" s="237"/>
    </row>
    <row r="323" spans="4:4" s="76" customFormat="1" ht="11.25" x14ac:dyDescent="0.25">
      <c r="D323" s="237"/>
    </row>
    <row r="324" spans="4:4" s="76" customFormat="1" ht="11.25" x14ac:dyDescent="0.25">
      <c r="D324" s="237"/>
    </row>
    <row r="325" spans="4:4" s="76" customFormat="1" ht="11.25" x14ac:dyDescent="0.25">
      <c r="D325" s="237"/>
    </row>
    <row r="326" spans="4:4" s="76" customFormat="1" ht="11.25" x14ac:dyDescent="0.25">
      <c r="D326" s="237"/>
    </row>
    <row r="327" spans="4:4" s="76" customFormat="1" ht="11.25" x14ac:dyDescent="0.25">
      <c r="D327" s="237"/>
    </row>
    <row r="328" spans="4:4" s="76" customFormat="1" ht="11.25" x14ac:dyDescent="0.25">
      <c r="D328" s="237"/>
    </row>
    <row r="329" spans="4:4" s="76" customFormat="1" ht="11.25" x14ac:dyDescent="0.25">
      <c r="D329" s="237"/>
    </row>
    <row r="330" spans="4:4" s="76" customFormat="1" ht="11.25" x14ac:dyDescent="0.25">
      <c r="D330" s="237"/>
    </row>
    <row r="331" spans="4:4" s="76" customFormat="1" ht="11.25" x14ac:dyDescent="0.25">
      <c r="D331" s="237"/>
    </row>
    <row r="332" spans="4:4" s="76" customFormat="1" ht="11.25" x14ac:dyDescent="0.25">
      <c r="D332" s="237"/>
    </row>
    <row r="333" spans="4:4" s="76" customFormat="1" ht="11.25" x14ac:dyDescent="0.25">
      <c r="D333" s="237"/>
    </row>
    <row r="334" spans="4:4" s="76" customFormat="1" ht="11.25" x14ac:dyDescent="0.25">
      <c r="D334" s="237"/>
    </row>
    <row r="335" spans="4:4" s="76" customFormat="1" ht="11.25" x14ac:dyDescent="0.25">
      <c r="D335" s="237"/>
    </row>
    <row r="336" spans="4:4" s="76" customFormat="1" ht="11.25" x14ac:dyDescent="0.25">
      <c r="D336" s="237"/>
    </row>
    <row r="337" spans="4:4" s="76" customFormat="1" ht="11.25" x14ac:dyDescent="0.25">
      <c r="D337" s="237"/>
    </row>
    <row r="338" spans="4:4" s="76" customFormat="1" ht="11.25" x14ac:dyDescent="0.25">
      <c r="D338" s="237"/>
    </row>
    <row r="339" spans="4:4" s="76" customFormat="1" ht="11.25" x14ac:dyDescent="0.25">
      <c r="D339" s="237"/>
    </row>
    <row r="340" spans="4:4" s="76" customFormat="1" ht="11.25" x14ac:dyDescent="0.25">
      <c r="D340" s="237"/>
    </row>
    <row r="341" spans="4:4" s="76" customFormat="1" ht="11.25" x14ac:dyDescent="0.25">
      <c r="D341" s="237"/>
    </row>
    <row r="342" spans="4:4" s="76" customFormat="1" ht="11.25" x14ac:dyDescent="0.25">
      <c r="D342" s="237"/>
    </row>
    <row r="343" spans="4:4" s="76" customFormat="1" ht="11.25" x14ac:dyDescent="0.25">
      <c r="D343" s="237"/>
    </row>
    <row r="344" spans="4:4" s="76" customFormat="1" ht="11.25" x14ac:dyDescent="0.25">
      <c r="D344" s="237"/>
    </row>
    <row r="345" spans="4:4" s="76" customFormat="1" ht="11.25" x14ac:dyDescent="0.25">
      <c r="D345" s="237"/>
    </row>
    <row r="346" spans="4:4" s="76" customFormat="1" ht="11.25" x14ac:dyDescent="0.25">
      <c r="D346" s="237"/>
    </row>
    <row r="347" spans="4:4" s="76" customFormat="1" ht="11.25" x14ac:dyDescent="0.25">
      <c r="D347" s="237"/>
    </row>
    <row r="348" spans="4:4" s="76" customFormat="1" ht="11.25" x14ac:dyDescent="0.25">
      <c r="D348" s="237"/>
    </row>
    <row r="349" spans="4:4" s="76" customFormat="1" ht="11.25" x14ac:dyDescent="0.25">
      <c r="D349" s="237"/>
    </row>
    <row r="350" spans="4:4" s="76" customFormat="1" ht="11.25" x14ac:dyDescent="0.25">
      <c r="D350" s="237"/>
    </row>
    <row r="351" spans="4:4" s="76" customFormat="1" ht="11.25" x14ac:dyDescent="0.25">
      <c r="D351" s="237"/>
    </row>
    <row r="352" spans="4:4" s="76" customFormat="1" ht="11.25" x14ac:dyDescent="0.25">
      <c r="D352" s="237"/>
    </row>
    <row r="353" spans="4:4" s="76" customFormat="1" ht="11.25" x14ac:dyDescent="0.25">
      <c r="D353" s="237"/>
    </row>
    <row r="354" spans="4:4" s="76" customFormat="1" ht="11.25" x14ac:dyDescent="0.25">
      <c r="D354" s="237"/>
    </row>
    <row r="355" spans="4:4" s="76" customFormat="1" ht="11.25" x14ac:dyDescent="0.25">
      <c r="D355" s="237"/>
    </row>
    <row r="356" spans="4:4" s="76" customFormat="1" ht="11.25" x14ac:dyDescent="0.25">
      <c r="D356" s="237"/>
    </row>
    <row r="357" spans="4:4" s="76" customFormat="1" ht="11.25" x14ac:dyDescent="0.25">
      <c r="D357" s="237"/>
    </row>
    <row r="358" spans="4:4" s="76" customFormat="1" ht="11.25" x14ac:dyDescent="0.25">
      <c r="D358" s="237"/>
    </row>
    <row r="359" spans="4:4" s="76" customFormat="1" ht="11.25" x14ac:dyDescent="0.25">
      <c r="D359" s="237"/>
    </row>
    <row r="360" spans="4:4" s="76" customFormat="1" ht="11.25" x14ac:dyDescent="0.25">
      <c r="D360" s="237"/>
    </row>
    <row r="361" spans="4:4" s="76" customFormat="1" ht="11.25" x14ac:dyDescent="0.25">
      <c r="D361" s="237"/>
    </row>
    <row r="362" spans="4:4" s="76" customFormat="1" ht="11.25" x14ac:dyDescent="0.25">
      <c r="D362" s="237"/>
    </row>
    <row r="363" spans="4:4" s="76" customFormat="1" ht="11.25" x14ac:dyDescent="0.25">
      <c r="D363" s="237"/>
    </row>
    <row r="364" spans="4:4" s="76" customFormat="1" ht="11.25" x14ac:dyDescent="0.25">
      <c r="D364" s="237"/>
    </row>
    <row r="365" spans="4:4" s="76" customFormat="1" ht="11.25" x14ac:dyDescent="0.25">
      <c r="D365" s="237"/>
    </row>
    <row r="366" spans="4:4" s="76" customFormat="1" ht="11.25" x14ac:dyDescent="0.25">
      <c r="D366" s="237"/>
    </row>
    <row r="367" spans="4:4" s="76" customFormat="1" ht="11.25" x14ac:dyDescent="0.25">
      <c r="D367" s="237"/>
    </row>
    <row r="368" spans="4:4" s="76" customFormat="1" ht="11.25" x14ac:dyDescent="0.25">
      <c r="D368" s="237"/>
    </row>
    <row r="369" spans="4:4" s="76" customFormat="1" ht="11.25" x14ac:dyDescent="0.25">
      <c r="D369" s="237"/>
    </row>
    <row r="370" spans="4:4" s="76" customFormat="1" ht="11.25" x14ac:dyDescent="0.25">
      <c r="D370" s="237"/>
    </row>
    <row r="371" spans="4:4" s="76" customFormat="1" ht="11.25" x14ac:dyDescent="0.25">
      <c r="D371" s="237"/>
    </row>
    <row r="372" spans="4:4" s="76" customFormat="1" ht="11.25" x14ac:dyDescent="0.25">
      <c r="D372" s="237"/>
    </row>
    <row r="373" spans="4:4" s="76" customFormat="1" ht="11.25" x14ac:dyDescent="0.25">
      <c r="D373" s="237"/>
    </row>
    <row r="374" spans="4:4" s="76" customFormat="1" ht="11.25" x14ac:dyDescent="0.25">
      <c r="D374" s="237"/>
    </row>
    <row r="375" spans="4:4" s="76" customFormat="1" ht="11.25" x14ac:dyDescent="0.25">
      <c r="D375" s="237"/>
    </row>
    <row r="376" spans="4:4" s="76" customFormat="1" ht="11.25" x14ac:dyDescent="0.25">
      <c r="D376" s="237"/>
    </row>
    <row r="377" spans="4:4" s="76" customFormat="1" ht="11.25" x14ac:dyDescent="0.25">
      <c r="D377" s="237"/>
    </row>
    <row r="378" spans="4:4" s="76" customFormat="1" ht="11.25" x14ac:dyDescent="0.25">
      <c r="D378" s="237"/>
    </row>
    <row r="379" spans="4:4" s="76" customFormat="1" ht="11.25" x14ac:dyDescent="0.25">
      <c r="D379" s="237"/>
    </row>
    <row r="380" spans="4:4" s="76" customFormat="1" ht="11.25" x14ac:dyDescent="0.25">
      <c r="D380" s="237"/>
    </row>
    <row r="381" spans="4:4" s="76" customFormat="1" ht="11.25" x14ac:dyDescent="0.25">
      <c r="D381" s="237"/>
    </row>
    <row r="382" spans="4:4" s="76" customFormat="1" ht="11.25" x14ac:dyDescent="0.25">
      <c r="D382" s="237"/>
    </row>
    <row r="383" spans="4:4" s="76" customFormat="1" ht="11.25" x14ac:dyDescent="0.25">
      <c r="D383" s="237"/>
    </row>
    <row r="384" spans="4:4" s="76" customFormat="1" ht="11.25" x14ac:dyDescent="0.25">
      <c r="D384" s="237"/>
    </row>
    <row r="385" spans="4:4" s="76" customFormat="1" ht="11.25" x14ac:dyDescent="0.25">
      <c r="D385" s="237"/>
    </row>
    <row r="386" spans="4:4" s="76" customFormat="1" ht="11.25" x14ac:dyDescent="0.25">
      <c r="D386" s="237"/>
    </row>
    <row r="387" spans="4:4" s="76" customFormat="1" ht="11.25" x14ac:dyDescent="0.25">
      <c r="D387" s="237"/>
    </row>
    <row r="388" spans="4:4" s="76" customFormat="1" ht="11.25" x14ac:dyDescent="0.25">
      <c r="D388" s="237"/>
    </row>
    <row r="389" spans="4:4" s="76" customFormat="1" ht="11.25" x14ac:dyDescent="0.25">
      <c r="D389" s="237"/>
    </row>
    <row r="390" spans="4:4" s="76" customFormat="1" ht="11.25" x14ac:dyDescent="0.25">
      <c r="D390" s="237"/>
    </row>
    <row r="391" spans="4:4" s="76" customFormat="1" ht="11.25" x14ac:dyDescent="0.25">
      <c r="D391" s="237"/>
    </row>
    <row r="392" spans="4:4" s="76" customFormat="1" ht="11.25" x14ac:dyDescent="0.25">
      <c r="D392" s="237"/>
    </row>
    <row r="393" spans="4:4" s="76" customFormat="1" ht="11.25" x14ac:dyDescent="0.25">
      <c r="D393" s="237"/>
    </row>
    <row r="394" spans="4:4" s="76" customFormat="1" ht="11.25" x14ac:dyDescent="0.25">
      <c r="D394" s="237"/>
    </row>
    <row r="395" spans="4:4" s="76" customFormat="1" ht="11.25" x14ac:dyDescent="0.25">
      <c r="D395" s="237"/>
    </row>
    <row r="396" spans="4:4" s="76" customFormat="1" ht="11.25" x14ac:dyDescent="0.25">
      <c r="D396" s="237"/>
    </row>
    <row r="397" spans="4:4" s="76" customFormat="1" ht="11.25" x14ac:dyDescent="0.25">
      <c r="D397" s="237"/>
    </row>
    <row r="398" spans="4:4" s="76" customFormat="1" ht="11.25" x14ac:dyDescent="0.25">
      <c r="D398" s="237"/>
    </row>
    <row r="399" spans="4:4" s="76" customFormat="1" ht="11.25" x14ac:dyDescent="0.25">
      <c r="D399" s="237"/>
    </row>
    <row r="400" spans="4:4" s="76" customFormat="1" ht="11.25" x14ac:dyDescent="0.25">
      <c r="D400" s="237"/>
    </row>
    <row r="401" spans="4:4" s="76" customFormat="1" ht="11.25" x14ac:dyDescent="0.25">
      <c r="D401" s="237"/>
    </row>
    <row r="402" spans="4:4" s="76" customFormat="1" ht="11.25" x14ac:dyDescent="0.25">
      <c r="D402" s="237"/>
    </row>
    <row r="403" spans="4:4" s="76" customFormat="1" ht="11.25" x14ac:dyDescent="0.25">
      <c r="D403" s="237"/>
    </row>
    <row r="404" spans="4:4" s="76" customFormat="1" ht="11.25" x14ac:dyDescent="0.25">
      <c r="D404" s="237"/>
    </row>
    <row r="405" spans="4:4" s="76" customFormat="1" ht="11.25" x14ac:dyDescent="0.25">
      <c r="D405" s="237"/>
    </row>
    <row r="406" spans="4:4" s="76" customFormat="1" ht="11.25" x14ac:dyDescent="0.25">
      <c r="D406" s="237"/>
    </row>
    <row r="407" spans="4:4" s="76" customFormat="1" ht="11.25" x14ac:dyDescent="0.25">
      <c r="D407" s="237"/>
    </row>
    <row r="408" spans="4:4" s="76" customFormat="1" ht="11.25" x14ac:dyDescent="0.25">
      <c r="D408" s="237"/>
    </row>
    <row r="409" spans="4:4" s="76" customFormat="1" ht="11.25" x14ac:dyDescent="0.25">
      <c r="D409" s="237"/>
    </row>
    <row r="410" spans="4:4" s="76" customFormat="1" ht="11.25" x14ac:dyDescent="0.25">
      <c r="D410" s="237"/>
    </row>
    <row r="411" spans="4:4" s="76" customFormat="1" ht="11.25" x14ac:dyDescent="0.25">
      <c r="D411" s="237"/>
    </row>
    <row r="412" spans="4:4" s="76" customFormat="1" ht="11.25" x14ac:dyDescent="0.25">
      <c r="D412" s="237"/>
    </row>
    <row r="413" spans="4:4" s="76" customFormat="1" ht="11.25" x14ac:dyDescent="0.25">
      <c r="D413" s="237"/>
    </row>
    <row r="414" spans="4:4" s="76" customFormat="1" ht="11.25" x14ac:dyDescent="0.25">
      <c r="D414" s="237"/>
    </row>
    <row r="415" spans="4:4" s="76" customFormat="1" ht="11.25" x14ac:dyDescent="0.25">
      <c r="D415" s="237"/>
    </row>
    <row r="416" spans="4:4" s="76" customFormat="1" ht="11.25" x14ac:dyDescent="0.25">
      <c r="D416" s="237"/>
    </row>
    <row r="417" spans="4:4" s="76" customFormat="1" ht="11.25" x14ac:dyDescent="0.25">
      <c r="D417" s="237"/>
    </row>
    <row r="418" spans="4:4" s="76" customFormat="1" ht="11.25" x14ac:dyDescent="0.25">
      <c r="D418" s="237"/>
    </row>
    <row r="419" spans="4:4" s="76" customFormat="1" ht="11.25" x14ac:dyDescent="0.25">
      <c r="D419" s="237"/>
    </row>
    <row r="420" spans="4:4" s="76" customFormat="1" ht="11.25" x14ac:dyDescent="0.25">
      <c r="D420" s="237"/>
    </row>
    <row r="421" spans="4:4" s="76" customFormat="1" ht="11.25" x14ac:dyDescent="0.25">
      <c r="D421" s="237"/>
    </row>
    <row r="422" spans="4:4" s="76" customFormat="1" ht="11.25" x14ac:dyDescent="0.25">
      <c r="D422" s="237"/>
    </row>
    <row r="423" spans="4:4" s="76" customFormat="1" ht="11.25" x14ac:dyDescent="0.25">
      <c r="D423" s="237"/>
    </row>
    <row r="424" spans="4:4" s="76" customFormat="1" ht="11.25" x14ac:dyDescent="0.25">
      <c r="D424" s="237"/>
    </row>
    <row r="425" spans="4:4" s="76" customFormat="1" ht="11.25" x14ac:dyDescent="0.25">
      <c r="D425" s="237"/>
    </row>
    <row r="426" spans="4:4" s="76" customFormat="1" ht="11.25" x14ac:dyDescent="0.25">
      <c r="D426" s="237"/>
    </row>
    <row r="427" spans="4:4" s="76" customFormat="1" ht="11.25" x14ac:dyDescent="0.25">
      <c r="D427" s="237"/>
    </row>
    <row r="428" spans="4:4" s="76" customFormat="1" ht="11.25" x14ac:dyDescent="0.25">
      <c r="D428" s="237"/>
    </row>
    <row r="429" spans="4:4" s="76" customFormat="1" ht="11.25" x14ac:dyDescent="0.25">
      <c r="D429" s="237"/>
    </row>
    <row r="430" spans="4:4" s="76" customFormat="1" ht="11.25" x14ac:dyDescent="0.25">
      <c r="D430" s="237"/>
    </row>
    <row r="431" spans="4:4" s="76" customFormat="1" ht="11.25" x14ac:dyDescent="0.25">
      <c r="D431" s="237"/>
    </row>
    <row r="432" spans="4:4" s="76" customFormat="1" ht="11.25" x14ac:dyDescent="0.25">
      <c r="D432" s="237"/>
    </row>
    <row r="433" spans="4:4" s="76" customFormat="1" ht="11.25" x14ac:dyDescent="0.25">
      <c r="D433" s="237"/>
    </row>
    <row r="434" spans="4:4" s="76" customFormat="1" ht="11.25" x14ac:dyDescent="0.25">
      <c r="D434" s="237"/>
    </row>
    <row r="435" spans="4:4" s="76" customFormat="1" ht="11.25" x14ac:dyDescent="0.25">
      <c r="D435" s="237"/>
    </row>
    <row r="436" spans="4:4" s="76" customFormat="1" ht="11.25" x14ac:dyDescent="0.25">
      <c r="D436" s="237"/>
    </row>
    <row r="437" spans="4:4" s="76" customFormat="1" ht="11.25" x14ac:dyDescent="0.25">
      <c r="D437" s="237"/>
    </row>
    <row r="438" spans="4:4" s="76" customFormat="1" ht="11.25" x14ac:dyDescent="0.25">
      <c r="D438" s="237"/>
    </row>
    <row r="439" spans="4:4" s="76" customFormat="1" ht="11.25" x14ac:dyDescent="0.25">
      <c r="D439" s="237"/>
    </row>
    <row r="440" spans="4:4" s="76" customFormat="1" ht="11.25" x14ac:dyDescent="0.25">
      <c r="D440" s="237"/>
    </row>
    <row r="441" spans="4:4" s="76" customFormat="1" ht="11.25" x14ac:dyDescent="0.25">
      <c r="D441" s="237"/>
    </row>
    <row r="442" spans="4:4" s="76" customFormat="1" ht="11.25" x14ac:dyDescent="0.25">
      <c r="D442" s="237"/>
    </row>
    <row r="443" spans="4:4" s="76" customFormat="1" ht="11.25" x14ac:dyDescent="0.25">
      <c r="D443" s="237"/>
    </row>
    <row r="444" spans="4:4" s="76" customFormat="1" ht="11.25" x14ac:dyDescent="0.25">
      <c r="D444" s="237"/>
    </row>
    <row r="445" spans="4:4" s="76" customFormat="1" ht="11.25" x14ac:dyDescent="0.25">
      <c r="D445" s="237"/>
    </row>
    <row r="446" spans="4:4" s="76" customFormat="1" ht="11.25" x14ac:dyDescent="0.25">
      <c r="D446" s="237"/>
    </row>
    <row r="447" spans="4:4" s="76" customFormat="1" ht="11.25" x14ac:dyDescent="0.25">
      <c r="D447" s="237"/>
    </row>
    <row r="448" spans="4:4" s="76" customFormat="1" ht="11.25" x14ac:dyDescent="0.25">
      <c r="D448" s="237"/>
    </row>
    <row r="449" spans="4:4" s="76" customFormat="1" ht="11.25" x14ac:dyDescent="0.25">
      <c r="D449" s="237"/>
    </row>
    <row r="450" spans="4:4" s="76" customFormat="1" ht="11.25" x14ac:dyDescent="0.25">
      <c r="D450" s="237"/>
    </row>
    <row r="451" spans="4:4" s="76" customFormat="1" ht="11.25" x14ac:dyDescent="0.25">
      <c r="D451" s="237"/>
    </row>
    <row r="452" spans="4:4" s="76" customFormat="1" ht="11.25" x14ac:dyDescent="0.25">
      <c r="D452" s="237"/>
    </row>
    <row r="453" spans="4:4" s="76" customFormat="1" ht="11.25" x14ac:dyDescent="0.25">
      <c r="D453" s="237"/>
    </row>
    <row r="454" spans="4:4" s="76" customFormat="1" ht="11.25" x14ac:dyDescent="0.25">
      <c r="D454" s="237"/>
    </row>
    <row r="455" spans="4:4" s="76" customFormat="1" ht="11.25" x14ac:dyDescent="0.25">
      <c r="D455" s="237"/>
    </row>
    <row r="456" spans="4:4" s="76" customFormat="1" ht="11.25" x14ac:dyDescent="0.25">
      <c r="D456" s="237"/>
    </row>
    <row r="457" spans="4:4" s="76" customFormat="1" ht="11.25" x14ac:dyDescent="0.25">
      <c r="D457" s="237"/>
    </row>
    <row r="458" spans="4:4" s="76" customFormat="1" ht="11.25" x14ac:dyDescent="0.25">
      <c r="D458" s="237"/>
    </row>
    <row r="459" spans="4:4" s="76" customFormat="1" ht="11.25" x14ac:dyDescent="0.25">
      <c r="D459" s="237"/>
    </row>
    <row r="460" spans="4:4" s="76" customFormat="1" ht="11.25" x14ac:dyDescent="0.25">
      <c r="D460" s="237"/>
    </row>
    <row r="461" spans="4:4" s="76" customFormat="1" ht="11.25" x14ac:dyDescent="0.25">
      <c r="D461" s="237"/>
    </row>
    <row r="462" spans="4:4" s="76" customFormat="1" ht="11.25" x14ac:dyDescent="0.25">
      <c r="D462" s="237"/>
    </row>
    <row r="463" spans="4:4" s="76" customFormat="1" ht="11.25" x14ac:dyDescent="0.25">
      <c r="D463" s="237"/>
    </row>
    <row r="464" spans="4:4" s="76" customFormat="1" ht="11.25" x14ac:dyDescent="0.25">
      <c r="D464" s="237"/>
    </row>
    <row r="465" spans="4:4" s="76" customFormat="1" ht="11.25" x14ac:dyDescent="0.25">
      <c r="D465" s="237"/>
    </row>
    <row r="466" spans="4:4" s="76" customFormat="1" ht="11.25" x14ac:dyDescent="0.25">
      <c r="D466" s="237"/>
    </row>
    <row r="467" spans="4:4" s="76" customFormat="1" ht="11.25" x14ac:dyDescent="0.25">
      <c r="D467" s="237"/>
    </row>
    <row r="468" spans="4:4" s="76" customFormat="1" ht="11.25" x14ac:dyDescent="0.25">
      <c r="D468" s="237"/>
    </row>
    <row r="469" spans="4:4" s="76" customFormat="1" ht="11.25" x14ac:dyDescent="0.25">
      <c r="D469" s="237"/>
    </row>
    <row r="470" spans="4:4" s="76" customFormat="1" ht="11.25" x14ac:dyDescent="0.25">
      <c r="D470" s="237"/>
    </row>
    <row r="471" spans="4:4" s="76" customFormat="1" ht="11.25" x14ac:dyDescent="0.25">
      <c r="D471" s="237"/>
    </row>
    <row r="472" spans="4:4" s="76" customFormat="1" ht="11.25" x14ac:dyDescent="0.25">
      <c r="D472" s="237"/>
    </row>
    <row r="473" spans="4:4" s="76" customFormat="1" ht="11.25" x14ac:dyDescent="0.25">
      <c r="D473" s="237"/>
    </row>
    <row r="474" spans="4:4" s="76" customFormat="1" ht="11.25" x14ac:dyDescent="0.25">
      <c r="D474" s="237"/>
    </row>
    <row r="475" spans="4:4" s="76" customFormat="1" ht="11.25" x14ac:dyDescent="0.25">
      <c r="D475" s="237"/>
    </row>
    <row r="476" spans="4:4" s="76" customFormat="1" ht="11.25" x14ac:dyDescent="0.25">
      <c r="D476" s="237"/>
    </row>
    <row r="477" spans="4:4" s="76" customFormat="1" ht="11.25" x14ac:dyDescent="0.25">
      <c r="D477" s="237"/>
    </row>
    <row r="478" spans="4:4" s="76" customFormat="1" ht="11.25" x14ac:dyDescent="0.25">
      <c r="D478" s="237"/>
    </row>
    <row r="479" spans="4:4" s="76" customFormat="1" ht="11.25" x14ac:dyDescent="0.25">
      <c r="D479" s="237"/>
    </row>
    <row r="480" spans="4:4" s="76" customFormat="1" ht="11.25" x14ac:dyDescent="0.25">
      <c r="D480" s="237"/>
    </row>
    <row r="481" spans="1:193" s="76" customFormat="1" ht="11.25" x14ac:dyDescent="0.25">
      <c r="D481" s="237"/>
    </row>
    <row r="482" spans="1:193" s="76" customFormat="1" ht="11.25" x14ac:dyDescent="0.25">
      <c r="D482" s="237"/>
    </row>
    <row r="483" spans="1:193" s="76" customFormat="1" ht="11.25" x14ac:dyDescent="0.25">
      <c r="D483" s="237"/>
    </row>
    <row r="484" spans="1:193" s="76" customFormat="1" ht="11.25" x14ac:dyDescent="0.25">
      <c r="D484" s="237"/>
    </row>
    <row r="485" spans="1:193" s="76" customFormat="1" ht="11.25" x14ac:dyDescent="0.25">
      <c r="D485" s="237"/>
    </row>
    <row r="486" spans="1:193" s="76" customFormat="1" ht="11.25" x14ac:dyDescent="0.25">
      <c r="D486" s="237"/>
    </row>
    <row r="487" spans="1:193" s="76" customFormat="1" ht="11.25" x14ac:dyDescent="0.25">
      <c r="D487" s="237"/>
    </row>
    <row r="488" spans="1:193" x14ac:dyDescent="0.25">
      <c r="A488" s="76"/>
      <c r="B488" s="76"/>
      <c r="C488" s="76"/>
      <c r="D488" s="237"/>
      <c r="E488" s="76"/>
      <c r="F488" s="76"/>
      <c r="G488" s="76"/>
      <c r="H488" s="76"/>
      <c r="I488" s="76"/>
      <c r="J488" s="76"/>
      <c r="K488" s="76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</row>
    <row r="489" spans="1:193" x14ac:dyDescent="0.25">
      <c r="A489" s="76"/>
      <c r="B489" s="76"/>
      <c r="C489" s="76"/>
      <c r="D489" s="237"/>
      <c r="E489" s="76"/>
      <c r="F489" s="76"/>
      <c r="G489" s="76"/>
      <c r="H489" s="76"/>
      <c r="I489" s="76"/>
      <c r="J489" s="76"/>
      <c r="K489" s="76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</row>
    <row r="490" spans="1:193" x14ac:dyDescent="0.25">
      <c r="A490" s="76"/>
      <c r="B490" s="76"/>
      <c r="C490" s="76"/>
      <c r="D490" s="237"/>
      <c r="E490" s="76"/>
      <c r="F490" s="76"/>
      <c r="G490" s="76"/>
      <c r="H490" s="76"/>
      <c r="I490" s="76"/>
      <c r="J490" s="76"/>
      <c r="K490" s="76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</row>
    <row r="491" spans="1:193" x14ac:dyDescent="0.25">
      <c r="A491" s="76"/>
      <c r="B491" s="76"/>
      <c r="C491" s="76"/>
      <c r="D491" s="237"/>
      <c r="E491" s="76"/>
      <c r="F491" s="76"/>
      <c r="G491" s="76"/>
      <c r="H491" s="76"/>
      <c r="I491" s="76"/>
      <c r="J491" s="76"/>
      <c r="K491" s="76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</row>
    <row r="492" spans="1:193" x14ac:dyDescent="0.25">
      <c r="A492" s="76"/>
      <c r="B492" s="76"/>
      <c r="C492" s="76"/>
      <c r="D492" s="237"/>
      <c r="E492" s="76"/>
      <c r="F492" s="76"/>
      <c r="G492" s="76"/>
      <c r="H492" s="76"/>
      <c r="I492" s="76"/>
      <c r="J492" s="76"/>
      <c r="K492" s="76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</row>
  </sheetData>
  <autoFilter ref="A4:K42" xr:uid="{00000000-0009-0000-0000-000005000000}">
    <filterColumn colId="1" showButton="0"/>
    <filterColumn colId="2" showButton="0"/>
    <filterColumn colId="3" showButton="0"/>
  </autoFilter>
  <mergeCells count="142">
    <mergeCell ref="K45:K49"/>
    <mergeCell ref="B9:E9"/>
    <mergeCell ref="B10:E10"/>
    <mergeCell ref="B11:E11"/>
    <mergeCell ref="B12:E12"/>
    <mergeCell ref="B13:E13"/>
    <mergeCell ref="B14:E14"/>
    <mergeCell ref="A3:K3"/>
    <mergeCell ref="B4:E4"/>
    <mergeCell ref="B5:E5"/>
    <mergeCell ref="B6:E6"/>
    <mergeCell ref="B7:E7"/>
    <mergeCell ref="B8:E8"/>
    <mergeCell ref="B21:E21"/>
    <mergeCell ref="B22:E22"/>
    <mergeCell ref="B23:E23"/>
    <mergeCell ref="B24:E24"/>
    <mergeCell ref="B25:E25"/>
    <mergeCell ref="B26:E26"/>
    <mergeCell ref="B15:E15"/>
    <mergeCell ref="B16:E16"/>
    <mergeCell ref="B17:E17"/>
    <mergeCell ref="B18:E18"/>
    <mergeCell ref="B19:E19"/>
    <mergeCell ref="B20:E20"/>
    <mergeCell ref="B36:E36"/>
    <mergeCell ref="B37:E37"/>
    <mergeCell ref="B38:E38"/>
    <mergeCell ref="A43:K43"/>
    <mergeCell ref="B27:E27"/>
    <mergeCell ref="B28:E28"/>
    <mergeCell ref="B29:E29"/>
    <mergeCell ref="B30:E30"/>
    <mergeCell ref="B31:E31"/>
    <mergeCell ref="B32:E32"/>
    <mergeCell ref="A41:H41"/>
    <mergeCell ref="B39:E39"/>
    <mergeCell ref="B40:E40"/>
    <mergeCell ref="A50:I50"/>
    <mergeCell ref="A52:K52"/>
    <mergeCell ref="A53:B54"/>
    <mergeCell ref="C53:H53"/>
    <mergeCell ref="I53:I54"/>
    <mergeCell ref="J53:J54"/>
    <mergeCell ref="K53:K54"/>
    <mergeCell ref="C54:D54"/>
    <mergeCell ref="E54:F54"/>
    <mergeCell ref="G54:H54"/>
    <mergeCell ref="A57:B57"/>
    <mergeCell ref="E57:F57"/>
    <mergeCell ref="G57:H57"/>
    <mergeCell ref="A58:B58"/>
    <mergeCell ref="E58:F58"/>
    <mergeCell ref="G58:H58"/>
    <mergeCell ref="A55:B55"/>
    <mergeCell ref="E55:F55"/>
    <mergeCell ref="G55:H55"/>
    <mergeCell ref="A56:B56"/>
    <mergeCell ref="E56:F56"/>
    <mergeCell ref="G56:H56"/>
    <mergeCell ref="A61:B61"/>
    <mergeCell ref="E61:F61"/>
    <mergeCell ref="G61:H61"/>
    <mergeCell ref="A62:B62"/>
    <mergeCell ref="E62:F62"/>
    <mergeCell ref="G62:H62"/>
    <mergeCell ref="A59:B59"/>
    <mergeCell ref="E59:F59"/>
    <mergeCell ref="G59:H59"/>
    <mergeCell ref="A60:B60"/>
    <mergeCell ref="E60:F60"/>
    <mergeCell ref="G60:H60"/>
    <mergeCell ref="A65:B65"/>
    <mergeCell ref="E65:F65"/>
    <mergeCell ref="G65:H65"/>
    <mergeCell ref="A66:B66"/>
    <mergeCell ref="E66:F66"/>
    <mergeCell ref="G66:H66"/>
    <mergeCell ref="A63:B63"/>
    <mergeCell ref="E63:F63"/>
    <mergeCell ref="G63:H63"/>
    <mergeCell ref="A64:B64"/>
    <mergeCell ref="E64:F64"/>
    <mergeCell ref="G64:H64"/>
    <mergeCell ref="A69:B69"/>
    <mergeCell ref="E69:F69"/>
    <mergeCell ref="G69:H69"/>
    <mergeCell ref="A70:B70"/>
    <mergeCell ref="E70:F70"/>
    <mergeCell ref="G70:H70"/>
    <mergeCell ref="A67:B67"/>
    <mergeCell ref="E67:F67"/>
    <mergeCell ref="G67:H67"/>
    <mergeCell ref="A68:B68"/>
    <mergeCell ref="E68:F68"/>
    <mergeCell ref="G68:H68"/>
    <mergeCell ref="A73:B73"/>
    <mergeCell ref="E73:F73"/>
    <mergeCell ref="G73:H73"/>
    <mergeCell ref="A74:B74"/>
    <mergeCell ref="E74:F74"/>
    <mergeCell ref="G74:H74"/>
    <mergeCell ref="A71:B71"/>
    <mergeCell ref="E71:F71"/>
    <mergeCell ref="G71:H71"/>
    <mergeCell ref="A72:B72"/>
    <mergeCell ref="E72:F72"/>
    <mergeCell ref="G72:H72"/>
    <mergeCell ref="G77:H77"/>
    <mergeCell ref="A78:B78"/>
    <mergeCell ref="E78:F78"/>
    <mergeCell ref="G78:H78"/>
    <mergeCell ref="A75:B75"/>
    <mergeCell ref="E75:F75"/>
    <mergeCell ref="G75:H75"/>
    <mergeCell ref="A76:B76"/>
    <mergeCell ref="E76:F76"/>
    <mergeCell ref="G76:H76"/>
    <mergeCell ref="C85:D85"/>
    <mergeCell ref="E85:F85"/>
    <mergeCell ref="G85:H85"/>
    <mergeCell ref="C1:H1"/>
    <mergeCell ref="A83:B83"/>
    <mergeCell ref="E83:F83"/>
    <mergeCell ref="G83:H83"/>
    <mergeCell ref="A84:B84"/>
    <mergeCell ref="E84:F84"/>
    <mergeCell ref="G84:H84"/>
    <mergeCell ref="A81:B81"/>
    <mergeCell ref="E81:F81"/>
    <mergeCell ref="G81:H81"/>
    <mergeCell ref="A82:B82"/>
    <mergeCell ref="E82:F82"/>
    <mergeCell ref="G82:H82"/>
    <mergeCell ref="A79:B79"/>
    <mergeCell ref="E79:F79"/>
    <mergeCell ref="G79:H79"/>
    <mergeCell ref="A80:B80"/>
    <mergeCell ref="E80:F80"/>
    <mergeCell ref="G80:H80"/>
    <mergeCell ref="A77:B77"/>
    <mergeCell ref="E77:F77"/>
  </mergeCells>
  <dataValidations count="1">
    <dataValidation type="decimal" operator="greaterThanOrEqual" allowBlank="1" showInputMessage="1" showErrorMessage="1" sqref="J48" xr:uid="{00000000-0002-0000-0500-000000000000}">
      <formula1>0</formula1>
    </dataValidation>
  </dataValidations>
  <pageMargins left="0.39370078740157483" right="0.15748031496062992" top="0.39370078740157483" bottom="0.27559055118110237" header="0.19685039370078741" footer="0.15748031496062992"/>
  <pageSetup paperSize="9" scale="70" fitToHeight="4" orientation="portrait" r:id="rId1"/>
  <headerFooter>
    <oddHeader>&amp;C&amp;"-,Negrito"PLANILHA DE COMPOSIÇÃO DE CUSTOS CUSTO RESUMIDO POR LOCALIDADE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362B3D-8EE4-46C4-992B-FB25ED39DDA1}">
          <x14:formula1>
            <xm:f>'Indicadores Financeiros'!$C$145:$C$208</xm:f>
          </x14:formula1>
          <xm:sqref>C1:H1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BY199"/>
  <sheetViews>
    <sheetView showGridLines="0" topLeftCell="A86" zoomScaleNormal="100" workbookViewId="0">
      <selection activeCell="J127" sqref="J127"/>
    </sheetView>
  </sheetViews>
  <sheetFormatPr defaultColWidth="9.140625" defaultRowHeight="15" x14ac:dyDescent="0.25"/>
  <cols>
    <col min="1" max="1" width="10.140625" customWidth="1"/>
    <col min="2" max="2" width="18" customWidth="1"/>
    <col min="3" max="3" width="19.140625" customWidth="1"/>
    <col min="4" max="4" width="20.85546875" customWidth="1"/>
    <col min="5" max="5" width="10.140625" customWidth="1"/>
    <col min="6" max="6" width="11.28515625" customWidth="1"/>
    <col min="7" max="7" width="7" bestFit="1" customWidth="1"/>
    <col min="8" max="8" width="11.42578125" customWidth="1"/>
    <col min="9" max="9" width="9.5703125" style="1" bestFit="1" customWidth="1"/>
    <col min="10" max="10" width="9.28515625" style="1" bestFit="1" customWidth="1"/>
    <col min="11" max="11" width="9.5703125" style="1" bestFit="1" customWidth="1"/>
    <col min="12" max="14" width="9.140625" style="1"/>
    <col min="15" max="15" width="9.140625" style="100"/>
    <col min="16" max="16" width="9.140625" style="159"/>
    <col min="17" max="16384" width="9.140625" style="1"/>
  </cols>
  <sheetData>
    <row r="1" spans="1:11" x14ac:dyDescent="0.25">
      <c r="A1" s="497" t="s">
        <v>24</v>
      </c>
      <c r="B1" s="497"/>
      <c r="C1" s="497"/>
      <c r="D1" s="497"/>
      <c r="E1" s="497"/>
      <c r="F1" s="497"/>
      <c r="G1" s="497"/>
      <c r="H1" s="497"/>
    </row>
    <row r="2" spans="1:11" x14ac:dyDescent="0.25">
      <c r="A2" s="498" t="s">
        <v>6</v>
      </c>
      <c r="B2" s="498"/>
      <c r="C2" s="499"/>
      <c r="D2" s="499"/>
      <c r="E2" s="499"/>
      <c r="F2" s="499"/>
      <c r="G2" s="499"/>
      <c r="H2" s="499"/>
    </row>
    <row r="3" spans="1:11" x14ac:dyDescent="0.25">
      <c r="A3" s="498" t="s">
        <v>7</v>
      </c>
      <c r="B3" s="498"/>
      <c r="C3" s="499" t="s">
        <v>239</v>
      </c>
      <c r="D3" s="499"/>
      <c r="E3" s="499"/>
      <c r="F3" s="499"/>
      <c r="G3" s="499"/>
      <c r="H3" s="499"/>
    </row>
    <row r="4" spans="1:11" x14ac:dyDescent="0.25">
      <c r="A4" s="498" t="s">
        <v>33</v>
      </c>
      <c r="B4" s="498"/>
      <c r="C4" s="500" t="str">
        <f>'Indicadores Financeiros'!$F$7</f>
        <v>Incidência cumulativa de PIS e de COFINS</v>
      </c>
      <c r="D4" s="501"/>
      <c r="E4" s="501"/>
      <c r="F4" s="501"/>
      <c r="G4" s="501"/>
      <c r="H4" s="502"/>
    </row>
    <row r="5" spans="1:11" x14ac:dyDescent="0.25">
      <c r="A5" s="498" t="s">
        <v>35</v>
      </c>
      <c r="B5" s="498"/>
      <c r="C5" s="513">
        <f>'Indicadores Financeiros'!$F$9</f>
        <v>5.8099999999999999E-2</v>
      </c>
      <c r="D5" s="514"/>
      <c r="E5" s="514"/>
      <c r="F5" s="514"/>
      <c r="G5" s="514"/>
      <c r="H5" s="515"/>
    </row>
    <row r="6" spans="1:11" x14ac:dyDescent="0.25">
      <c r="A6" s="498" t="s">
        <v>36</v>
      </c>
      <c r="B6" s="498"/>
      <c r="C6" s="513">
        <f>'Indicadores Financeiros'!$F$10</f>
        <v>7.1999999999999995E-2</v>
      </c>
      <c r="D6" s="514"/>
      <c r="E6" s="514"/>
      <c r="F6" s="514"/>
      <c r="G6" s="514"/>
      <c r="H6" s="515"/>
    </row>
    <row r="7" spans="1:11" x14ac:dyDescent="0.25">
      <c r="A7" s="498" t="s">
        <v>34</v>
      </c>
      <c r="B7" s="498"/>
      <c r="C7" s="513">
        <f>'Indicadores Financeiros'!$F$8</f>
        <v>0.03</v>
      </c>
      <c r="D7" s="514"/>
      <c r="E7" s="514"/>
      <c r="F7" s="514"/>
      <c r="G7" s="514"/>
      <c r="H7" s="515"/>
    </row>
    <row r="8" spans="1:11" x14ac:dyDescent="0.25">
      <c r="A8" s="503" t="s">
        <v>240</v>
      </c>
      <c r="B8" s="504"/>
      <c r="C8" s="505" t="s">
        <v>238</v>
      </c>
      <c r="D8" s="506"/>
      <c r="E8" s="161" t="s">
        <v>153</v>
      </c>
      <c r="F8" s="507">
        <f>VLOOKUP($C$8,'Indicadores Financeiros'!$C$145:$G$208,5,FALSE)</f>
        <v>0.02</v>
      </c>
      <c r="G8" s="508"/>
      <c r="H8" s="509"/>
      <c r="I8" s="101"/>
      <c r="J8" s="102"/>
      <c r="K8" s="103"/>
    </row>
    <row r="9" spans="1:11" x14ac:dyDescent="0.25">
      <c r="A9" s="503" t="str">
        <f>IF(OR($A$15=690004,$A$15=690025,$A$15=690030,$A$15=690031,$A$15=690033),"Nº de dias estimado p/ mês plantão","Nº de dias úteis estimado por mês")</f>
        <v>Nº de dias úteis estimado por mês</v>
      </c>
      <c r="B9" s="504"/>
      <c r="C9" s="510">
        <f>VLOOKUP($A$15,'Tabela de Códigos e Valores'!A:G,7,FALSE)</f>
        <v>21</v>
      </c>
      <c r="D9" s="511"/>
      <c r="E9" s="511"/>
      <c r="F9" s="511"/>
      <c r="G9" s="511"/>
      <c r="H9" s="512"/>
      <c r="I9" s="101"/>
      <c r="K9" s="103"/>
    </row>
    <row r="10" spans="1:11" x14ac:dyDescent="0.25">
      <c r="A10" s="503" t="s">
        <v>241</v>
      </c>
      <c r="B10" s="504"/>
      <c r="C10" s="513">
        <f>'Indicadores Financeiros'!$F$13</f>
        <v>0</v>
      </c>
      <c r="D10" s="514"/>
      <c r="E10" s="514"/>
      <c r="F10" s="514"/>
      <c r="G10" s="514"/>
      <c r="H10" s="515"/>
      <c r="I10" s="101"/>
      <c r="K10" s="103"/>
    </row>
    <row r="11" spans="1:11" x14ac:dyDescent="0.25">
      <c r="A11" s="503" t="s">
        <v>175</v>
      </c>
      <c r="B11" s="504"/>
      <c r="C11" s="513">
        <f>VLOOKUP($C$8,'Indicadores Financeiros'!C145:H209,6,FALSE)</f>
        <v>0.27810000000000001</v>
      </c>
      <c r="D11" s="514"/>
      <c r="E11" s="514"/>
      <c r="F11" s="514"/>
      <c r="G11" s="514"/>
      <c r="H11" s="515"/>
      <c r="I11" s="101"/>
      <c r="K11" s="103"/>
    </row>
    <row r="12" spans="1:11" ht="9" customHeight="1" x14ac:dyDescent="0.25">
      <c r="A12" s="520"/>
      <c r="B12" s="520"/>
      <c r="C12" s="520"/>
      <c r="D12" s="520"/>
      <c r="E12" s="520"/>
      <c r="F12" s="520"/>
      <c r="G12" s="520"/>
      <c r="H12" s="520"/>
    </row>
    <row r="13" spans="1:11" x14ac:dyDescent="0.25">
      <c r="A13" s="497" t="s">
        <v>242</v>
      </c>
      <c r="B13" s="497"/>
      <c r="C13" s="497"/>
      <c r="D13" s="497"/>
      <c r="E13" s="497"/>
      <c r="F13" s="497"/>
      <c r="G13" s="497"/>
      <c r="H13" s="497"/>
      <c r="I13" s="101"/>
      <c r="K13" s="104"/>
    </row>
    <row r="14" spans="1:11" x14ac:dyDescent="0.25">
      <c r="A14" s="105" t="s">
        <v>99</v>
      </c>
      <c r="B14" s="524" t="s">
        <v>162</v>
      </c>
      <c r="C14" s="524"/>
      <c r="D14" s="524"/>
      <c r="E14" s="524"/>
      <c r="F14" s="105" t="s">
        <v>164</v>
      </c>
      <c r="G14" s="105" t="s">
        <v>163</v>
      </c>
      <c r="H14" s="105" t="s">
        <v>243</v>
      </c>
      <c r="I14" s="101"/>
    </row>
    <row r="15" spans="1:11" ht="36" customHeight="1" x14ac:dyDescent="0.25">
      <c r="A15" s="106">
        <v>690001</v>
      </c>
      <c r="B15" s="525" t="str">
        <f>IFERROR(VLOOKUP(A15,'Tabela de Códigos e Valores'!A:J,2,FALSE),0)</f>
        <v>Auxiliar de limpeza - diurno - 44 horas semanais (segunda a sexta-feira)</v>
      </c>
      <c r="C15" s="526"/>
      <c r="D15" s="526"/>
      <c r="E15" s="527"/>
      <c r="F15" s="107" t="str">
        <f>IFERROR(VLOOKUP(A15,'Relatório Custo'!$E:$K,4,FALSE),"")</f>
        <v>Mensal</v>
      </c>
      <c r="G15" s="242" t="str">
        <f>IFERROR(VLOOKUP(A15,'Relatório Custo'!$E:$K,3,FALSE),"")</f>
        <v>Posto</v>
      </c>
      <c r="H15" s="178">
        <f>SUMIFS('Relatório Custo'!$K$3:$K$755,'Relatório Custo'!$E$3:$E$755,'Custo por Função'!$A$15,'Relatório Custo'!$C$3:$C$755,'Custo por Função'!$C$8)</f>
        <v>1</v>
      </c>
      <c r="I15" s="101"/>
      <c r="J15" s="244">
        <f>ROUND(SUMIFS('Relatório Custo'!$V:$V,'Relatório Custo'!$E:$E,'Custo por Função'!A15,'Relatório Custo'!C:C,'Custo por Função'!$C$8)-F114,2)</f>
        <v>0</v>
      </c>
      <c r="K15" s="245"/>
    </row>
    <row r="16" spans="1:11" ht="9" customHeight="1" x14ac:dyDescent="0.25">
      <c r="A16" s="520"/>
      <c r="B16" s="520"/>
      <c r="C16" s="520"/>
      <c r="D16" s="520"/>
      <c r="E16" s="520"/>
      <c r="F16" s="520"/>
      <c r="G16" s="520"/>
      <c r="H16" s="520"/>
    </row>
    <row r="17" spans="1:13" ht="15" customHeight="1" x14ac:dyDescent="0.25">
      <c r="A17" s="521" t="s">
        <v>244</v>
      </c>
      <c r="B17" s="522"/>
      <c r="C17" s="522"/>
      <c r="D17" s="522"/>
      <c r="E17" s="522"/>
      <c r="F17" s="522"/>
      <c r="G17" s="522"/>
      <c r="H17" s="523"/>
      <c r="I17" s="101"/>
    </row>
    <row r="18" spans="1:13" x14ac:dyDescent="0.25">
      <c r="A18" s="516" t="s">
        <v>245</v>
      </c>
      <c r="B18" s="516"/>
      <c r="C18" s="516"/>
      <c r="D18" s="516"/>
      <c r="E18" s="516"/>
      <c r="F18" s="516"/>
      <c r="G18" s="516"/>
      <c r="H18" s="109" t="s">
        <v>246</v>
      </c>
      <c r="I18" s="101"/>
      <c r="K18" s="104"/>
      <c r="L18" s="159"/>
      <c r="M18" s="159"/>
    </row>
    <row r="19" spans="1:13" x14ac:dyDescent="0.25">
      <c r="A19" s="500" t="s">
        <v>247</v>
      </c>
      <c r="B19" s="501"/>
      <c r="C19" s="501"/>
      <c r="D19" s="501"/>
      <c r="E19" s="501"/>
      <c r="F19" s="501"/>
      <c r="G19" s="502"/>
      <c r="H19" s="110">
        <f>VLOOKUP($A$15,'Tabela de Códigos e Valores'!$A:$AJ,10)</f>
        <v>1717.2</v>
      </c>
      <c r="I19" s="101"/>
      <c r="L19" s="159"/>
      <c r="M19" s="159"/>
    </row>
    <row r="20" spans="1:13" ht="15" customHeight="1" x14ac:dyDescent="0.25">
      <c r="A20" s="500" t="s">
        <v>248</v>
      </c>
      <c r="B20" s="501"/>
      <c r="C20" s="501"/>
      <c r="D20" s="501"/>
      <c r="E20" s="501"/>
      <c r="F20" s="501"/>
      <c r="G20" s="502"/>
      <c r="H20" s="110">
        <f>VLOOKUP($A$15,'Tabela de Códigos e Valores'!$A:$AJ,11)</f>
        <v>0</v>
      </c>
      <c r="I20" s="101"/>
      <c r="L20" s="159"/>
      <c r="M20" s="159"/>
    </row>
    <row r="21" spans="1:13" ht="15" customHeight="1" x14ac:dyDescent="0.25">
      <c r="A21" s="500" t="s">
        <v>249</v>
      </c>
      <c r="B21" s="501"/>
      <c r="C21" s="501"/>
      <c r="D21" s="501"/>
      <c r="E21" s="501"/>
      <c r="F21" s="501"/>
      <c r="G21" s="502"/>
      <c r="H21" s="110">
        <f>VLOOKUP($A$15,'Tabela de Códigos e Valores'!$A:$AJ,12)</f>
        <v>0</v>
      </c>
      <c r="I21" s="101"/>
      <c r="L21" s="159"/>
      <c r="M21" s="159"/>
    </row>
    <row r="22" spans="1:13" ht="15" customHeight="1" x14ac:dyDescent="0.25">
      <c r="A22" s="500" t="s">
        <v>250</v>
      </c>
      <c r="B22" s="501"/>
      <c r="C22" s="501"/>
      <c r="D22" s="501"/>
      <c r="E22" s="501"/>
      <c r="F22" s="501"/>
      <c r="G22" s="502"/>
      <c r="H22" s="110">
        <f>VLOOKUP($A$15,'Tabela de Códigos e Valores'!$A:$AJ,13)</f>
        <v>0</v>
      </c>
      <c r="I22" s="101"/>
      <c r="L22" s="159"/>
      <c r="M22" s="159"/>
    </row>
    <row r="23" spans="1:13" ht="15" customHeight="1" x14ac:dyDescent="0.25">
      <c r="A23" s="500" t="s">
        <v>251</v>
      </c>
      <c r="B23" s="501"/>
      <c r="C23" s="501"/>
      <c r="D23" s="501"/>
      <c r="E23" s="501"/>
      <c r="F23" s="501"/>
      <c r="G23" s="502"/>
      <c r="H23" s="110">
        <f>VLOOKUP($A$15,'Tabela de Códigos e Valores'!$A:$AJ,14)</f>
        <v>0</v>
      </c>
      <c r="I23" s="101"/>
      <c r="L23" s="159"/>
      <c r="M23" s="159"/>
    </row>
    <row r="24" spans="1:13" ht="15" customHeight="1" x14ac:dyDescent="0.25">
      <c r="A24" s="500" t="s">
        <v>252</v>
      </c>
      <c r="B24" s="501"/>
      <c r="C24" s="501"/>
      <c r="D24" s="501"/>
      <c r="E24" s="501"/>
      <c r="F24" s="501"/>
      <c r="G24" s="502"/>
      <c r="H24" s="110">
        <f>VLOOKUP($A$15,'Tabela de Códigos e Valores'!$A:$AJ,15)*VLOOKUP($A$15,'Tabela de Códigos e Valores'!$A:$AJ,8)</f>
        <v>0</v>
      </c>
      <c r="I24" s="101"/>
      <c r="J24" s="123"/>
      <c r="L24" s="159"/>
      <c r="M24" s="159"/>
    </row>
    <row r="25" spans="1:13" x14ac:dyDescent="0.25">
      <c r="A25" s="517" t="s">
        <v>253</v>
      </c>
      <c r="B25" s="518"/>
      <c r="C25" s="518"/>
      <c r="D25" s="518"/>
      <c r="E25" s="518"/>
      <c r="F25" s="518"/>
      <c r="G25" s="519"/>
      <c r="H25" s="111">
        <f>SUM(H19:H24)</f>
        <v>1717.2</v>
      </c>
      <c r="I25" s="101"/>
      <c r="L25" s="159"/>
      <c r="M25" s="159"/>
    </row>
    <row r="26" spans="1:13" ht="9" customHeight="1" x14ac:dyDescent="0.25">
      <c r="A26" s="520"/>
      <c r="B26" s="520"/>
      <c r="C26" s="520"/>
      <c r="D26" s="520"/>
      <c r="E26" s="520"/>
      <c r="F26" s="520"/>
      <c r="G26" s="520"/>
      <c r="H26" s="520"/>
      <c r="L26" s="159"/>
    </row>
    <row r="27" spans="1:13" ht="15" customHeight="1" x14ac:dyDescent="0.25">
      <c r="A27" s="463" t="s">
        <v>254</v>
      </c>
      <c r="B27" s="464"/>
      <c r="C27" s="464"/>
      <c r="D27" s="464"/>
      <c r="E27" s="464"/>
      <c r="F27" s="464"/>
      <c r="G27" s="464"/>
      <c r="H27" s="465"/>
      <c r="I27" s="101"/>
      <c r="L27" s="159"/>
    </row>
    <row r="28" spans="1:13" x14ac:dyDescent="0.25">
      <c r="A28" s="516" t="s">
        <v>255</v>
      </c>
      <c r="B28" s="516"/>
      <c r="C28" s="516"/>
      <c r="D28" s="516"/>
      <c r="E28" s="516"/>
      <c r="F28" s="516"/>
      <c r="G28" s="516"/>
      <c r="H28" s="516"/>
      <c r="I28" s="101"/>
      <c r="L28" s="159"/>
    </row>
    <row r="29" spans="1:13" x14ac:dyDescent="0.25">
      <c r="A29" s="108">
        <v>1</v>
      </c>
      <c r="B29" s="528" t="s">
        <v>44</v>
      </c>
      <c r="C29" s="529"/>
      <c r="D29" s="529"/>
      <c r="E29" s="530"/>
      <c r="F29" s="531">
        <f>'Indicadores Financeiros'!J17</f>
        <v>0.2</v>
      </c>
      <c r="G29" s="532"/>
      <c r="H29" s="533"/>
      <c r="I29" s="101"/>
      <c r="J29" s="104"/>
      <c r="L29" s="159"/>
    </row>
    <row r="30" spans="1:13" x14ac:dyDescent="0.25">
      <c r="A30" s="108">
        <v>2</v>
      </c>
      <c r="B30" s="528" t="s">
        <v>45</v>
      </c>
      <c r="C30" s="529"/>
      <c r="D30" s="529"/>
      <c r="E30" s="530"/>
      <c r="F30" s="531">
        <f>'Indicadores Financeiros'!J18</f>
        <v>1.4999999999999999E-2</v>
      </c>
      <c r="G30" s="532"/>
      <c r="H30" s="534"/>
      <c r="I30" s="101"/>
      <c r="J30" s="103"/>
      <c r="L30" s="159"/>
    </row>
    <row r="31" spans="1:13" x14ac:dyDescent="0.25">
      <c r="A31" s="108">
        <v>3</v>
      </c>
      <c r="B31" s="528" t="s">
        <v>46</v>
      </c>
      <c r="C31" s="529"/>
      <c r="D31" s="529"/>
      <c r="E31" s="530"/>
      <c r="F31" s="531">
        <f>'Indicadores Financeiros'!J19</f>
        <v>0.01</v>
      </c>
      <c r="G31" s="532"/>
      <c r="H31" s="534"/>
      <c r="I31" s="101"/>
      <c r="J31" s="103"/>
      <c r="L31" s="159"/>
    </row>
    <row r="32" spans="1:13" x14ac:dyDescent="0.25">
      <c r="A32" s="108">
        <v>4</v>
      </c>
      <c r="B32" s="528" t="s">
        <v>47</v>
      </c>
      <c r="C32" s="529"/>
      <c r="D32" s="529"/>
      <c r="E32" s="530"/>
      <c r="F32" s="531">
        <f>'Indicadores Financeiros'!J20</f>
        <v>2E-3</v>
      </c>
      <c r="G32" s="532"/>
      <c r="H32" s="534"/>
      <c r="I32" s="101"/>
      <c r="J32" s="103"/>
      <c r="L32" s="159"/>
    </row>
    <row r="33" spans="1:12" x14ac:dyDescent="0.25">
      <c r="A33" s="108">
        <v>5</v>
      </c>
      <c r="B33" s="528" t="s">
        <v>48</v>
      </c>
      <c r="C33" s="529"/>
      <c r="D33" s="529"/>
      <c r="E33" s="530"/>
      <c r="F33" s="531">
        <f>'Indicadores Financeiros'!J21</f>
        <v>2.5000000000000001E-2</v>
      </c>
      <c r="G33" s="532"/>
      <c r="H33" s="534"/>
      <c r="I33" s="101"/>
      <c r="J33" s="103"/>
      <c r="L33" s="159"/>
    </row>
    <row r="34" spans="1:12" x14ac:dyDescent="0.25">
      <c r="A34" s="108">
        <v>6</v>
      </c>
      <c r="B34" s="528" t="s">
        <v>49</v>
      </c>
      <c r="C34" s="529"/>
      <c r="D34" s="529"/>
      <c r="E34" s="530"/>
      <c r="F34" s="531">
        <f>'Indicadores Financeiros'!J22</f>
        <v>0.08</v>
      </c>
      <c r="G34" s="532"/>
      <c r="H34" s="534"/>
      <c r="I34" s="101"/>
      <c r="J34" s="103"/>
    </row>
    <row r="35" spans="1:12" x14ac:dyDescent="0.25">
      <c r="A35" s="108">
        <v>7</v>
      </c>
      <c r="B35" s="528" t="s">
        <v>50</v>
      </c>
      <c r="C35" s="529"/>
      <c r="D35" s="529"/>
      <c r="E35" s="530"/>
      <c r="F35" s="531">
        <f>'Indicadores Financeiros'!J23</f>
        <v>0.03</v>
      </c>
      <c r="G35" s="532"/>
      <c r="H35" s="534"/>
      <c r="I35" s="101"/>
      <c r="J35" s="103"/>
    </row>
    <row r="36" spans="1:12" x14ac:dyDescent="0.25">
      <c r="A36" s="112">
        <v>8</v>
      </c>
      <c r="B36" s="528" t="s">
        <v>51</v>
      </c>
      <c r="C36" s="529"/>
      <c r="D36" s="529"/>
      <c r="E36" s="530"/>
      <c r="F36" s="531">
        <f>'Indicadores Financeiros'!J24</f>
        <v>6.0000000000000001E-3</v>
      </c>
      <c r="G36" s="532"/>
      <c r="H36" s="535"/>
      <c r="I36" s="101"/>
      <c r="J36" s="103"/>
    </row>
    <row r="37" spans="1:12" x14ac:dyDescent="0.25">
      <c r="A37" s="517" t="s">
        <v>57</v>
      </c>
      <c r="B37" s="518"/>
      <c r="C37" s="518"/>
      <c r="D37" s="518"/>
      <c r="E37" s="519"/>
      <c r="F37" s="539">
        <f>SUM(F29:G36)</f>
        <v>0.3680000000000001</v>
      </c>
      <c r="G37" s="540"/>
      <c r="H37" s="111"/>
      <c r="I37" s="101"/>
      <c r="J37" s="104"/>
    </row>
    <row r="38" spans="1:12" ht="9" customHeight="1" x14ac:dyDescent="0.25">
      <c r="A38" s="520"/>
      <c r="B38" s="520"/>
      <c r="C38" s="520"/>
      <c r="D38" s="520"/>
      <c r="E38" s="520"/>
      <c r="F38" s="520"/>
      <c r="G38" s="520"/>
      <c r="H38" s="520"/>
    </row>
    <row r="39" spans="1:12" x14ac:dyDescent="0.25">
      <c r="A39" s="516" t="s">
        <v>256</v>
      </c>
      <c r="B39" s="516"/>
      <c r="C39" s="516"/>
      <c r="D39" s="516"/>
      <c r="E39" s="516"/>
      <c r="F39" s="516"/>
      <c r="G39" s="516"/>
      <c r="H39" s="516"/>
      <c r="I39" s="101"/>
    </row>
    <row r="40" spans="1:12" x14ac:dyDescent="0.25">
      <c r="A40" s="108">
        <v>1</v>
      </c>
      <c r="B40" s="528" t="s">
        <v>54</v>
      </c>
      <c r="C40" s="529"/>
      <c r="D40" s="529"/>
      <c r="E40" s="530"/>
      <c r="F40" s="536">
        <f>'Indicadores Financeiros'!J28</f>
        <v>8.9300000000000004E-2</v>
      </c>
      <c r="G40" s="537"/>
      <c r="H40" s="538"/>
      <c r="I40" s="101"/>
      <c r="J40" s="104"/>
    </row>
    <row r="41" spans="1:12" x14ac:dyDescent="0.25">
      <c r="A41" s="108">
        <v>2</v>
      </c>
      <c r="B41" s="528" t="s">
        <v>55</v>
      </c>
      <c r="C41" s="529"/>
      <c r="D41" s="529"/>
      <c r="E41" s="530"/>
      <c r="F41" s="536">
        <f>'Indicadores Financeiros'!J29</f>
        <v>2.98E-2</v>
      </c>
      <c r="G41" s="537"/>
      <c r="H41" s="538"/>
      <c r="I41" s="101"/>
      <c r="J41" s="104"/>
    </row>
    <row r="42" spans="1:12" x14ac:dyDescent="0.25">
      <c r="A42" s="112">
        <v>3</v>
      </c>
      <c r="B42" s="528" t="s">
        <v>56</v>
      </c>
      <c r="C42" s="529"/>
      <c r="D42" s="529"/>
      <c r="E42" s="530"/>
      <c r="F42" s="536">
        <f>'Indicadores Financeiros'!J30</f>
        <v>4.3799999999999999E-2</v>
      </c>
      <c r="G42" s="537"/>
      <c r="H42" s="538"/>
      <c r="I42" s="101"/>
      <c r="J42" s="104"/>
    </row>
    <row r="43" spans="1:12" x14ac:dyDescent="0.25">
      <c r="A43" s="517" t="s">
        <v>59</v>
      </c>
      <c r="B43" s="518"/>
      <c r="C43" s="518"/>
      <c r="D43" s="518"/>
      <c r="E43" s="519"/>
      <c r="F43" s="541">
        <f>SUM(F40:G42)</f>
        <v>0.16290000000000002</v>
      </c>
      <c r="G43" s="542"/>
      <c r="H43" s="111"/>
      <c r="I43" s="101"/>
      <c r="J43" s="104"/>
    </row>
    <row r="44" spans="1:12" ht="9" customHeight="1" x14ac:dyDescent="0.25">
      <c r="A44" s="520"/>
      <c r="B44" s="520"/>
      <c r="C44" s="520"/>
      <c r="D44" s="520"/>
      <c r="E44" s="520"/>
      <c r="F44" s="520"/>
      <c r="G44" s="520"/>
      <c r="H44" s="520"/>
    </row>
    <row r="45" spans="1:12" x14ac:dyDescent="0.25">
      <c r="A45" s="516" t="s">
        <v>257</v>
      </c>
      <c r="B45" s="516"/>
      <c r="C45" s="516"/>
      <c r="D45" s="516"/>
      <c r="E45" s="516"/>
      <c r="F45" s="516"/>
      <c r="G45" s="516"/>
      <c r="H45" s="516"/>
      <c r="I45" s="101"/>
    </row>
    <row r="46" spans="1:12" x14ac:dyDescent="0.25">
      <c r="A46" s="112">
        <v>1</v>
      </c>
      <c r="B46" s="528" t="s">
        <v>56</v>
      </c>
      <c r="C46" s="529"/>
      <c r="D46" s="529"/>
      <c r="E46" s="530"/>
      <c r="F46" s="536">
        <f>'Indicadores Financeiros'!J34</f>
        <v>7.5554163675678747E-4</v>
      </c>
      <c r="G46" s="537"/>
      <c r="H46" s="317"/>
      <c r="I46" s="101"/>
      <c r="J46" s="104"/>
    </row>
    <row r="47" spans="1:12" x14ac:dyDescent="0.25">
      <c r="A47" s="517" t="s">
        <v>69</v>
      </c>
      <c r="B47" s="518"/>
      <c r="C47" s="518"/>
      <c r="D47" s="518"/>
      <c r="E47" s="519"/>
      <c r="F47" s="541">
        <f>SUM(F46:G46)</f>
        <v>7.5554163675678747E-4</v>
      </c>
      <c r="G47" s="542"/>
      <c r="H47" s="111"/>
      <c r="I47" s="101"/>
      <c r="J47" s="104"/>
    </row>
    <row r="48" spans="1:12" ht="6" customHeight="1" x14ac:dyDescent="0.25">
      <c r="A48" s="520"/>
      <c r="B48" s="520"/>
      <c r="C48" s="520"/>
      <c r="D48" s="520"/>
      <c r="E48" s="520"/>
      <c r="F48" s="520"/>
      <c r="G48" s="520"/>
      <c r="H48" s="520"/>
    </row>
    <row r="49" spans="1:77" x14ac:dyDescent="0.25">
      <c r="A49" s="516" t="s">
        <v>258</v>
      </c>
      <c r="B49" s="516"/>
      <c r="C49" s="516"/>
      <c r="D49" s="516"/>
      <c r="E49" s="516"/>
      <c r="F49" s="516"/>
      <c r="G49" s="516"/>
      <c r="H49" s="516"/>
      <c r="I49" s="101"/>
    </row>
    <row r="50" spans="1:77" x14ac:dyDescent="0.25">
      <c r="A50" s="108">
        <v>1</v>
      </c>
      <c r="B50" s="543" t="s">
        <v>61</v>
      </c>
      <c r="C50" s="544"/>
      <c r="D50" s="544"/>
      <c r="E50" s="545"/>
      <c r="F50" s="536">
        <f>'Indicadores Financeiros'!J38</f>
        <v>4.0800000000000003E-2</v>
      </c>
      <c r="G50" s="537"/>
      <c r="H50" s="533"/>
      <c r="I50" s="101"/>
      <c r="J50" s="104"/>
    </row>
    <row r="51" spans="1:77" x14ac:dyDescent="0.25">
      <c r="A51" s="108">
        <v>2</v>
      </c>
      <c r="B51" s="543" t="s">
        <v>62</v>
      </c>
      <c r="C51" s="544"/>
      <c r="D51" s="544"/>
      <c r="E51" s="545"/>
      <c r="F51" s="536">
        <f>'Indicadores Financeiros'!J39</f>
        <v>3.3E-3</v>
      </c>
      <c r="G51" s="537"/>
      <c r="H51" s="534"/>
      <c r="I51" s="101"/>
      <c r="J51" s="104"/>
    </row>
    <row r="52" spans="1:77" x14ac:dyDescent="0.25">
      <c r="A52" s="108">
        <v>3</v>
      </c>
      <c r="B52" s="543" t="s">
        <v>63</v>
      </c>
      <c r="C52" s="544"/>
      <c r="D52" s="544"/>
      <c r="E52" s="545"/>
      <c r="F52" s="536">
        <f>'Indicadores Financeiros'!J40</f>
        <v>1.2999999999999999E-3</v>
      </c>
      <c r="G52" s="537"/>
      <c r="H52" s="534"/>
      <c r="I52" s="101"/>
      <c r="J52" s="104"/>
    </row>
    <row r="53" spans="1:77" x14ac:dyDescent="0.25">
      <c r="A53" s="108">
        <v>4</v>
      </c>
      <c r="B53" s="543" t="s">
        <v>64</v>
      </c>
      <c r="C53" s="544"/>
      <c r="D53" s="544"/>
      <c r="E53" s="545"/>
      <c r="F53" s="536">
        <f>'Indicadores Financeiros'!J41</f>
        <v>1E-4</v>
      </c>
      <c r="G53" s="537"/>
      <c r="H53" s="534"/>
      <c r="I53" s="101"/>
      <c r="J53" s="104"/>
    </row>
    <row r="54" spans="1:77" x14ac:dyDescent="0.25">
      <c r="A54" s="108">
        <v>5</v>
      </c>
      <c r="B54" s="543" t="s">
        <v>65</v>
      </c>
      <c r="C54" s="544"/>
      <c r="D54" s="544"/>
      <c r="E54" s="545"/>
      <c r="F54" s="536">
        <f>'Indicadores Financeiros'!J42</f>
        <v>0</v>
      </c>
      <c r="G54" s="537"/>
      <c r="H54" s="534"/>
      <c r="I54" s="101"/>
      <c r="J54" s="104"/>
    </row>
    <row r="55" spans="1:77" x14ac:dyDescent="0.25">
      <c r="A55" s="108">
        <v>6</v>
      </c>
      <c r="B55" s="543" t="s">
        <v>66</v>
      </c>
      <c r="C55" s="544"/>
      <c r="D55" s="544"/>
      <c r="E55" s="545"/>
      <c r="F55" s="536">
        <f>'Indicadores Financeiros'!J43</f>
        <v>0</v>
      </c>
      <c r="G55" s="537"/>
      <c r="H55" s="534"/>
      <c r="I55" s="101"/>
      <c r="J55" s="104"/>
    </row>
    <row r="56" spans="1:77" s="118" customFormat="1" ht="15" customHeight="1" x14ac:dyDescent="0.25">
      <c r="A56" s="112">
        <v>7</v>
      </c>
      <c r="B56" s="543" t="s">
        <v>67</v>
      </c>
      <c r="C56" s="544"/>
      <c r="D56" s="544"/>
      <c r="E56" s="545"/>
      <c r="F56" s="536">
        <f>'Indicadores Financeiros'!J44</f>
        <v>8.0000000000000004E-4</v>
      </c>
      <c r="G56" s="537"/>
      <c r="H56" s="534"/>
      <c r="I56" s="113"/>
      <c r="J56" s="114"/>
      <c r="K56" s="115"/>
      <c r="L56" s="116"/>
      <c r="M56" s="114"/>
      <c r="N56" s="114"/>
      <c r="O56" s="117"/>
      <c r="P56" s="160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</row>
    <row r="57" spans="1:77" s="118" customFormat="1" ht="15" customHeight="1" x14ac:dyDescent="0.25">
      <c r="A57" s="112">
        <v>8</v>
      </c>
      <c r="B57" s="543" t="s">
        <v>68</v>
      </c>
      <c r="C57" s="544"/>
      <c r="D57" s="544"/>
      <c r="E57" s="545"/>
      <c r="F57" s="536">
        <f>'Indicadores Financeiros'!J45</f>
        <v>9.2099999999999994E-3</v>
      </c>
      <c r="G57" s="537"/>
      <c r="H57" s="535"/>
      <c r="I57" s="113"/>
      <c r="J57" s="114"/>
      <c r="K57" s="115"/>
      <c r="L57" s="116"/>
      <c r="M57" s="114"/>
      <c r="N57" s="114"/>
      <c r="O57" s="117"/>
      <c r="P57" s="160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</row>
    <row r="58" spans="1:77" x14ac:dyDescent="0.25">
      <c r="A58" s="517" t="s">
        <v>74</v>
      </c>
      <c r="B58" s="518"/>
      <c r="C58" s="518"/>
      <c r="D58" s="518"/>
      <c r="E58" s="519"/>
      <c r="F58" s="541">
        <f>SUM(F50:G57)</f>
        <v>5.5510000000000004E-2</v>
      </c>
      <c r="G58" s="542"/>
      <c r="H58" s="111"/>
      <c r="I58" s="101"/>
      <c r="J58" s="104"/>
    </row>
    <row r="59" spans="1:77" ht="6.6" customHeight="1" x14ac:dyDescent="0.25">
      <c r="A59" s="520"/>
      <c r="B59" s="520"/>
      <c r="C59" s="520"/>
      <c r="D59" s="520"/>
      <c r="E59" s="520"/>
      <c r="F59" s="520"/>
      <c r="G59" s="520"/>
      <c r="H59" s="520"/>
    </row>
    <row r="60" spans="1:77" x14ac:dyDescent="0.25">
      <c r="A60" s="546" t="s">
        <v>259</v>
      </c>
      <c r="B60" s="547"/>
      <c r="C60" s="547"/>
      <c r="D60" s="547"/>
      <c r="E60" s="547"/>
      <c r="F60" s="547"/>
      <c r="G60" s="547"/>
      <c r="H60" s="548"/>
    </row>
    <row r="61" spans="1:77" x14ac:dyDescent="0.25">
      <c r="A61" s="108">
        <v>1</v>
      </c>
      <c r="B61" s="528" t="s">
        <v>71</v>
      </c>
      <c r="C61" s="529"/>
      <c r="D61" s="529"/>
      <c r="E61" s="530"/>
      <c r="F61" s="536">
        <f>'Indicadores Financeiros'!J49</f>
        <v>2.8799999999999999E-2</v>
      </c>
      <c r="G61" s="537"/>
      <c r="H61" s="533"/>
      <c r="I61" s="101"/>
      <c r="J61" s="104"/>
    </row>
    <row r="62" spans="1:77" x14ac:dyDescent="0.25">
      <c r="A62" s="108">
        <v>2</v>
      </c>
      <c r="B62" s="528" t="s">
        <v>72</v>
      </c>
      <c r="C62" s="529"/>
      <c r="D62" s="529"/>
      <c r="E62" s="530"/>
      <c r="F62" s="536">
        <f>'Indicadores Financeiros'!J50</f>
        <v>3.3999999999999998E-3</v>
      </c>
      <c r="G62" s="537"/>
      <c r="H62" s="534"/>
      <c r="I62" s="101"/>
      <c r="J62" s="104"/>
    </row>
    <row r="63" spans="1:77" x14ac:dyDescent="0.25">
      <c r="A63" s="119">
        <v>3</v>
      </c>
      <c r="B63" s="528" t="s">
        <v>73</v>
      </c>
      <c r="C63" s="529"/>
      <c r="D63" s="529"/>
      <c r="E63" s="530"/>
      <c r="F63" s="536">
        <f>'Indicadores Financeiros'!J51</f>
        <v>2.5999999999999999E-3</v>
      </c>
      <c r="G63" s="537"/>
      <c r="H63" s="535"/>
      <c r="I63" s="101"/>
      <c r="J63" s="104"/>
    </row>
    <row r="64" spans="1:77" x14ac:dyDescent="0.25">
      <c r="A64" s="517" t="s">
        <v>81</v>
      </c>
      <c r="B64" s="518"/>
      <c r="C64" s="518"/>
      <c r="D64" s="518"/>
      <c r="E64" s="519"/>
      <c r="F64" s="541">
        <f>SUM(F61:G63)</f>
        <v>3.4799999999999998E-2</v>
      </c>
      <c r="G64" s="542"/>
      <c r="H64" s="111"/>
      <c r="I64" s="101"/>
      <c r="J64" s="104"/>
    </row>
    <row r="65" spans="1:15" ht="9" customHeight="1" x14ac:dyDescent="0.25">
      <c r="A65" s="520"/>
      <c r="B65" s="520"/>
      <c r="C65" s="520"/>
      <c r="D65" s="520"/>
      <c r="E65" s="520"/>
      <c r="F65" s="520"/>
      <c r="G65" s="520"/>
      <c r="H65" s="520"/>
    </row>
    <row r="66" spans="1:15" x14ac:dyDescent="0.25">
      <c r="A66" s="546" t="s">
        <v>260</v>
      </c>
      <c r="B66" s="547"/>
      <c r="C66" s="547"/>
      <c r="D66" s="547"/>
      <c r="E66" s="547"/>
      <c r="F66" s="547"/>
      <c r="G66" s="547"/>
      <c r="H66" s="548"/>
    </row>
    <row r="67" spans="1:15" x14ac:dyDescent="0.25">
      <c r="A67" s="108">
        <v>1</v>
      </c>
      <c r="B67" s="528" t="s">
        <v>76</v>
      </c>
      <c r="C67" s="529"/>
      <c r="D67" s="529"/>
      <c r="E67" s="530"/>
      <c r="F67" s="536">
        <f>'Indicadores Financeiros'!J55</f>
        <v>8.9300000000000004E-2</v>
      </c>
      <c r="G67" s="537"/>
      <c r="H67" s="533"/>
      <c r="I67" s="101"/>
      <c r="J67" s="104"/>
    </row>
    <row r="68" spans="1:15" x14ac:dyDescent="0.25">
      <c r="A68" s="108">
        <v>2</v>
      </c>
      <c r="B68" s="528" t="s">
        <v>77</v>
      </c>
      <c r="C68" s="529"/>
      <c r="D68" s="529"/>
      <c r="E68" s="530"/>
      <c r="F68" s="536">
        <f>'Indicadores Financeiros'!J56</f>
        <v>1.54E-2</v>
      </c>
      <c r="G68" s="537"/>
      <c r="H68" s="534"/>
      <c r="I68" s="101"/>
      <c r="J68" s="104"/>
    </row>
    <row r="69" spans="1:15" x14ac:dyDescent="0.25">
      <c r="A69" s="108">
        <v>3</v>
      </c>
      <c r="B69" s="528" t="s">
        <v>78</v>
      </c>
      <c r="C69" s="529"/>
      <c r="D69" s="529"/>
      <c r="E69" s="530"/>
      <c r="F69" s="536">
        <f>'Indicadores Financeiros'!J57</f>
        <v>2.9999999999999997E-4</v>
      </c>
      <c r="G69" s="537"/>
      <c r="H69" s="534"/>
      <c r="I69" s="101"/>
      <c r="J69" s="104"/>
    </row>
    <row r="70" spans="1:15" x14ac:dyDescent="0.25">
      <c r="A70" s="108">
        <v>4</v>
      </c>
      <c r="B70" s="528" t="s">
        <v>79</v>
      </c>
      <c r="C70" s="529"/>
      <c r="D70" s="529"/>
      <c r="E70" s="530"/>
      <c r="F70" s="536">
        <f>'Indicadores Financeiros'!J58</f>
        <v>9.1000000000000004E-3</v>
      </c>
      <c r="G70" s="537"/>
      <c r="H70" s="534"/>
      <c r="I70" s="101"/>
      <c r="J70" s="104"/>
      <c r="O70" s="1"/>
    </row>
    <row r="71" spans="1:15" x14ac:dyDescent="0.25">
      <c r="A71" s="108">
        <v>5</v>
      </c>
      <c r="B71" s="528" t="s">
        <v>80</v>
      </c>
      <c r="C71" s="529"/>
      <c r="D71" s="529"/>
      <c r="E71" s="530"/>
      <c r="F71" s="536">
        <f>'Indicadores Financeiros'!J59</f>
        <v>8.0000000000000004E-4</v>
      </c>
      <c r="G71" s="537"/>
      <c r="H71" s="534"/>
      <c r="I71" s="101"/>
      <c r="J71" s="104"/>
      <c r="O71" s="1"/>
    </row>
    <row r="72" spans="1:15" x14ac:dyDescent="0.25">
      <c r="A72" s="169">
        <v>6</v>
      </c>
      <c r="B72" s="528" t="s">
        <v>56</v>
      </c>
      <c r="C72" s="529"/>
      <c r="D72" s="529"/>
      <c r="E72" s="530"/>
      <c r="F72" s="536">
        <f>'Indicadores Financeiros'!J60</f>
        <v>4.2299999999999997E-2</v>
      </c>
      <c r="G72" s="537"/>
      <c r="H72" s="535"/>
      <c r="I72" s="101"/>
      <c r="J72" s="104"/>
      <c r="O72" s="1"/>
    </row>
    <row r="73" spans="1:15" x14ac:dyDescent="0.25">
      <c r="A73" s="517" t="s">
        <v>261</v>
      </c>
      <c r="B73" s="518"/>
      <c r="C73" s="518"/>
      <c r="D73" s="518"/>
      <c r="E73" s="519"/>
      <c r="F73" s="541">
        <f>SUM(F67:G72)</f>
        <v>0.15719999999999998</v>
      </c>
      <c r="G73" s="542"/>
      <c r="H73" s="111"/>
      <c r="I73" s="101"/>
      <c r="J73" s="104"/>
      <c r="L73" s="104"/>
      <c r="O73" s="1"/>
    </row>
    <row r="74" spans="1:15" ht="4.9000000000000004" customHeight="1" x14ac:dyDescent="0.25">
      <c r="A74" s="520"/>
      <c r="B74" s="520"/>
      <c r="C74" s="520"/>
      <c r="D74" s="520"/>
      <c r="E74" s="520"/>
      <c r="F74" s="520"/>
      <c r="G74" s="520"/>
      <c r="H74" s="520"/>
      <c r="O74" s="1"/>
    </row>
    <row r="75" spans="1:15" x14ac:dyDescent="0.25">
      <c r="A75" s="554" t="s">
        <v>82</v>
      </c>
      <c r="B75" s="555"/>
      <c r="C75" s="555"/>
      <c r="D75" s="555"/>
      <c r="E75" s="556"/>
      <c r="F75" s="557">
        <f>F73+F64+F58+F47+F43+F37</f>
        <v>0.77916554163675689</v>
      </c>
      <c r="G75" s="558"/>
      <c r="H75" s="120">
        <f>IF(G15&lt;&gt;"M2",IF(G15="Posto",ROUND(F75*H25,2),ROUND(VLOOKUP($A$15,'Tabela de Códigos e Valores'!$A:$AJ,15)*$F$75,2)*VLOOKUP($A$15,'Tabela de Códigos e Valores'!$A:$AJ,8)),0)</f>
        <v>1337.98</v>
      </c>
      <c r="I75" s="101"/>
      <c r="J75" s="104"/>
      <c r="O75" s="1"/>
    </row>
    <row r="76" spans="1:15" ht="9" customHeight="1" x14ac:dyDescent="0.25">
      <c r="A76" s="520"/>
      <c r="B76" s="520"/>
      <c r="C76" s="520"/>
      <c r="D76" s="520"/>
      <c r="E76" s="520"/>
      <c r="F76" s="520"/>
      <c r="G76" s="520"/>
      <c r="H76" s="520"/>
      <c r="O76" s="1"/>
    </row>
    <row r="77" spans="1:15" x14ac:dyDescent="0.25">
      <c r="A77" s="546" t="s">
        <v>262</v>
      </c>
      <c r="B77" s="547"/>
      <c r="C77" s="547"/>
      <c r="D77" s="547"/>
      <c r="E77" s="547"/>
      <c r="F77" s="467" t="s">
        <v>246</v>
      </c>
      <c r="G77" s="467"/>
      <c r="H77" s="468"/>
      <c r="O77" s="1"/>
    </row>
    <row r="78" spans="1:15" x14ac:dyDescent="0.25">
      <c r="A78" s="549" t="s">
        <v>263</v>
      </c>
      <c r="B78" s="550"/>
      <c r="C78" s="550"/>
      <c r="D78" s="550"/>
      <c r="E78" s="550"/>
      <c r="F78" s="550"/>
      <c r="G78" s="550"/>
      <c r="H78" s="551"/>
      <c r="O78" s="1"/>
    </row>
    <row r="79" spans="1:15" x14ac:dyDescent="0.25">
      <c r="A79" s="108"/>
      <c r="B79" s="476" t="s">
        <v>264</v>
      </c>
      <c r="C79" s="552"/>
      <c r="D79" s="108" t="s">
        <v>142</v>
      </c>
      <c r="E79" s="108" t="s">
        <v>265</v>
      </c>
      <c r="F79" s="476"/>
      <c r="G79" s="520"/>
      <c r="H79" s="552"/>
      <c r="O79" s="1"/>
    </row>
    <row r="80" spans="1:15" x14ac:dyDescent="0.25">
      <c r="A80" s="108">
        <v>1</v>
      </c>
      <c r="B80" s="121" t="s">
        <v>266</v>
      </c>
      <c r="C80" s="494">
        <f>$C$9</f>
        <v>21</v>
      </c>
      <c r="D80" s="110">
        <f>IF(OR(A15=690002,A15=690016,A15=690035,A15=690038,A15=690064),0,IF(OR(A15=690018,A15=690019),'Indicadores Financeiros'!H122,'Indicadores Financeiros'!E122))</f>
        <v>20.76</v>
      </c>
      <c r="E80" s="110">
        <f>IF(OR(A15=690002,A15=690016,A15=690035,A15=690038,A15=690064),0,IF(OR(A15=690018,A15=690019),'Indicadores Financeiros'!I122,'Indicadores Financeiros'!F122))</f>
        <v>1.39</v>
      </c>
      <c r="F80" s="471">
        <f>ROUND(ROUND(D80-E80,2)*$C$80,2)</f>
        <v>406.77</v>
      </c>
      <c r="G80" s="553"/>
      <c r="H80" s="472"/>
      <c r="I80" s="104"/>
      <c r="J80" s="104"/>
      <c r="O80" s="1"/>
    </row>
    <row r="81" spans="1:15" x14ac:dyDescent="0.25">
      <c r="A81" s="108">
        <v>2</v>
      </c>
      <c r="B81" s="121" t="s">
        <v>172</v>
      </c>
      <c r="C81" s="496"/>
      <c r="D81" s="110">
        <f>VLOOKUP($C$8,'Indicadores Financeiros'!$C$145:$J$208,7,FALSE)</f>
        <v>10.98</v>
      </c>
      <c r="E81" s="110">
        <f>ROUND(H19*6%,2)</f>
        <v>103.03</v>
      </c>
      <c r="F81" s="471">
        <f>IF(E81&gt;=D81*C80,0,ROUND(D81*C80,2)-E81)</f>
        <v>127.55000000000001</v>
      </c>
      <c r="G81" s="553"/>
      <c r="H81" s="472"/>
      <c r="J81" s="104"/>
      <c r="O81" s="1"/>
    </row>
    <row r="82" spans="1:15" x14ac:dyDescent="0.25">
      <c r="A82" s="549" t="s">
        <v>233</v>
      </c>
      <c r="B82" s="550"/>
      <c r="C82" s="550"/>
      <c r="D82" s="550"/>
      <c r="E82" s="550"/>
      <c r="F82" s="550"/>
      <c r="G82" s="550"/>
      <c r="H82" s="551"/>
      <c r="O82" s="1"/>
    </row>
    <row r="83" spans="1:15" x14ac:dyDescent="0.25">
      <c r="A83" s="175">
        <v>3</v>
      </c>
      <c r="B83" s="500" t="s">
        <v>267</v>
      </c>
      <c r="C83" s="501"/>
      <c r="D83" s="501"/>
      <c r="E83" s="502"/>
      <c r="F83" s="559">
        <f>VLOOKUP($A$15,'Tabela de Códigos e Valores'!$A:$AJ,18)</f>
        <v>35.33</v>
      </c>
      <c r="G83" s="560"/>
      <c r="H83" s="561"/>
      <c r="I83" s="122"/>
      <c r="J83" s="123"/>
      <c r="K83" s="124"/>
      <c r="L83" s="104"/>
      <c r="O83" s="1"/>
    </row>
    <row r="84" spans="1:15" x14ac:dyDescent="0.25">
      <c r="A84" s="108">
        <v>4</v>
      </c>
      <c r="B84" s="500" t="s">
        <v>135</v>
      </c>
      <c r="C84" s="501"/>
      <c r="D84" s="501"/>
      <c r="E84" s="502"/>
      <c r="F84" s="559">
        <f>VLOOKUP($A$15,'Tabela de Códigos e Valores'!$A:$AJ,19)</f>
        <v>23.29</v>
      </c>
      <c r="G84" s="560"/>
      <c r="H84" s="561"/>
      <c r="I84" s="101"/>
      <c r="O84" s="1"/>
    </row>
    <row r="85" spans="1:15" x14ac:dyDescent="0.25">
      <c r="A85" s="175">
        <v>5</v>
      </c>
      <c r="B85" s="500" t="s">
        <v>136</v>
      </c>
      <c r="C85" s="501"/>
      <c r="D85" s="501"/>
      <c r="E85" s="502"/>
      <c r="F85" s="559">
        <f>VLOOKUP($A$15,'Tabela de Códigos e Valores'!$A:$AJ,20)</f>
        <v>15.96</v>
      </c>
      <c r="G85" s="560"/>
      <c r="H85" s="561"/>
      <c r="I85" s="101"/>
      <c r="J85" s="123"/>
      <c r="K85" s="124"/>
      <c r="L85" s="104"/>
      <c r="O85" s="1"/>
    </row>
    <row r="86" spans="1:15" x14ac:dyDescent="0.25">
      <c r="A86" s="108">
        <v>6</v>
      </c>
      <c r="B86" s="500" t="s">
        <v>268</v>
      </c>
      <c r="C86" s="501"/>
      <c r="D86" s="501"/>
      <c r="E86" s="502"/>
      <c r="F86" s="559">
        <f>VLOOKUP($A$15,'Tabela de Códigos e Valores'!$A:$AJ,21)</f>
        <v>0</v>
      </c>
      <c r="G86" s="560"/>
      <c r="H86" s="561"/>
      <c r="I86" s="101"/>
      <c r="J86" s="122"/>
      <c r="L86" s="125"/>
      <c r="O86" s="1"/>
    </row>
    <row r="87" spans="1:15" x14ac:dyDescent="0.25">
      <c r="A87" s="175">
        <v>7</v>
      </c>
      <c r="B87" s="500" t="s">
        <v>137</v>
      </c>
      <c r="C87" s="501"/>
      <c r="D87" s="501"/>
      <c r="E87" s="502"/>
      <c r="F87" s="559">
        <f>VLOOKUP($A$15,'Tabela de Códigos e Valores'!$A:$AJ,22)</f>
        <v>144.68</v>
      </c>
      <c r="G87" s="560"/>
      <c r="H87" s="561"/>
      <c r="I87" s="126"/>
      <c r="J87" s="104"/>
      <c r="O87" s="1"/>
    </row>
    <row r="88" spans="1:15" x14ac:dyDescent="0.25">
      <c r="A88" s="108">
        <v>8</v>
      </c>
      <c r="B88" s="500" t="s">
        <v>138</v>
      </c>
      <c r="C88" s="501"/>
      <c r="D88" s="501"/>
      <c r="E88" s="502"/>
      <c r="F88" s="559">
        <f>VLOOKUP($A$15,'Tabela de Códigos e Valores'!$A:$AJ,23)</f>
        <v>1.73</v>
      </c>
      <c r="G88" s="560"/>
      <c r="H88" s="561"/>
      <c r="I88" s="126"/>
      <c r="J88" s="127"/>
      <c r="O88" s="1"/>
    </row>
    <row r="89" spans="1:15" x14ac:dyDescent="0.25">
      <c r="A89" s="175">
        <v>9</v>
      </c>
      <c r="B89" s="500" t="s">
        <v>269</v>
      </c>
      <c r="C89" s="501"/>
      <c r="D89" s="501"/>
      <c r="E89" s="502"/>
      <c r="F89" s="559">
        <f>VLOOKUP($A$15,'Tabela de Códigos e Valores'!$A:$AJ,24)</f>
        <v>7.6</v>
      </c>
      <c r="G89" s="560"/>
      <c r="H89" s="561"/>
      <c r="I89" s="101"/>
      <c r="J89" s="127"/>
      <c r="O89" s="1"/>
    </row>
    <row r="90" spans="1:15" x14ac:dyDescent="0.25">
      <c r="A90" s="108">
        <v>10</v>
      </c>
      <c r="B90" s="500" t="s">
        <v>270</v>
      </c>
      <c r="C90" s="501"/>
      <c r="D90" s="501"/>
      <c r="E90" s="502"/>
      <c r="F90" s="559">
        <f>VLOOKUP($A$15,'Tabela de Códigos e Valores'!$A:$AJ,25)</f>
        <v>0</v>
      </c>
      <c r="G90" s="560"/>
      <c r="H90" s="561"/>
      <c r="I90" s="101"/>
      <c r="J90" s="127"/>
      <c r="O90" s="1"/>
    </row>
    <row r="91" spans="1:15" x14ac:dyDescent="0.25">
      <c r="A91" s="108">
        <v>11</v>
      </c>
      <c r="B91" s="500" t="s">
        <v>271</v>
      </c>
      <c r="C91" s="501"/>
      <c r="D91" s="501"/>
      <c r="E91" s="502"/>
      <c r="F91" s="559">
        <f>VLOOKUP($A$15,'Tabela de Códigos e Valores'!$A:$AJ,30)</f>
        <v>62.81</v>
      </c>
      <c r="G91" s="560"/>
      <c r="H91" s="561"/>
      <c r="I91" s="101"/>
      <c r="J91" s="127"/>
      <c r="O91" s="1"/>
    </row>
    <row r="92" spans="1:15" x14ac:dyDescent="0.25">
      <c r="A92" s="108">
        <v>12</v>
      </c>
      <c r="B92" s="500" t="s">
        <v>272</v>
      </c>
      <c r="C92" s="501"/>
      <c r="D92" s="501"/>
      <c r="E92" s="502"/>
      <c r="F92" s="559">
        <f>VLOOKUP($A$15,'Tabela de Códigos e Valores'!$A:$AJ,27)</f>
        <v>0</v>
      </c>
      <c r="G92" s="560"/>
      <c r="H92" s="561"/>
      <c r="I92" s="101"/>
      <c r="J92" s="127"/>
      <c r="O92" s="1"/>
    </row>
    <row r="93" spans="1:15" x14ac:dyDescent="0.25">
      <c r="A93" s="517" t="s">
        <v>273</v>
      </c>
      <c r="B93" s="518"/>
      <c r="C93" s="518"/>
      <c r="D93" s="518"/>
      <c r="E93" s="519"/>
      <c r="F93" s="562">
        <f>SUM(F83:H92)+F80+F81</f>
        <v>825.72</v>
      </c>
      <c r="G93" s="563"/>
      <c r="H93" s="564"/>
      <c r="I93" s="126"/>
      <c r="J93" s="104"/>
      <c r="K93" s="104"/>
      <c r="O93" s="1"/>
    </row>
    <row r="94" spans="1:15" ht="4.9000000000000004" customHeight="1" x14ac:dyDescent="0.25">
      <c r="A94" s="520"/>
      <c r="B94" s="520"/>
      <c r="C94" s="520"/>
      <c r="D94" s="520"/>
      <c r="E94" s="520"/>
      <c r="F94" s="520"/>
      <c r="G94" s="520"/>
      <c r="H94" s="520"/>
      <c r="O94" s="1"/>
    </row>
    <row r="95" spans="1:15" x14ac:dyDescent="0.25">
      <c r="A95" s="546" t="s">
        <v>274</v>
      </c>
      <c r="B95" s="547"/>
      <c r="C95" s="547"/>
      <c r="D95" s="548"/>
      <c r="E95" s="128" t="s">
        <v>43</v>
      </c>
      <c r="F95" s="554" t="s">
        <v>246</v>
      </c>
      <c r="G95" s="555"/>
      <c r="H95" s="556"/>
      <c r="O95" s="1"/>
    </row>
    <row r="96" spans="1:15" x14ac:dyDescent="0.25">
      <c r="A96" s="108">
        <v>1</v>
      </c>
      <c r="B96" s="500" t="s">
        <v>275</v>
      </c>
      <c r="C96" s="501"/>
      <c r="D96" s="502"/>
      <c r="E96" s="129">
        <f>VLOOKUP($A$15,'Tabela de Códigos e Valores'!$A:$AJ,31)</f>
        <v>0.12</v>
      </c>
      <c r="F96" s="565">
        <f>IFERROR(ROUND(($H$25+$H$75+$F$93)*$E$96/(1-$E$96),2),0)</f>
        <v>529.21</v>
      </c>
      <c r="G96" s="566"/>
      <c r="H96" s="567"/>
      <c r="I96" s="130"/>
      <c r="J96" s="131"/>
      <c r="K96" s="132"/>
      <c r="L96" s="132"/>
      <c r="M96" s="132"/>
      <c r="N96" s="132"/>
      <c r="O96" s="1"/>
    </row>
    <row r="97" spans="1:15" x14ac:dyDescent="0.25">
      <c r="A97" s="517" t="s">
        <v>276</v>
      </c>
      <c r="B97" s="518"/>
      <c r="C97" s="518"/>
      <c r="D97" s="518"/>
      <c r="E97" s="519"/>
      <c r="F97" s="466">
        <f>F96</f>
        <v>529.21</v>
      </c>
      <c r="G97" s="467"/>
      <c r="H97" s="468"/>
      <c r="O97" s="1"/>
    </row>
    <row r="98" spans="1:15" ht="9" customHeight="1" x14ac:dyDescent="0.25">
      <c r="A98" s="520"/>
      <c r="B98" s="520"/>
      <c r="C98" s="520"/>
      <c r="D98" s="520"/>
      <c r="E98" s="520"/>
      <c r="F98" s="520"/>
      <c r="G98" s="520"/>
      <c r="H98" s="520"/>
      <c r="O98" s="1"/>
    </row>
    <row r="99" spans="1:15" x14ac:dyDescent="0.25">
      <c r="A99" s="517" t="s">
        <v>277</v>
      </c>
      <c r="B99" s="518"/>
      <c r="C99" s="518"/>
      <c r="D99" s="518"/>
      <c r="E99" s="519"/>
      <c r="F99" s="466">
        <f>ROUND($H$25+$F$97+$F$93+$H$75,2)</f>
        <v>4410.1099999999997</v>
      </c>
      <c r="G99" s="467"/>
      <c r="H99" s="468"/>
      <c r="O99" s="1"/>
    </row>
    <row r="100" spans="1:15" ht="4.9000000000000004" customHeight="1" x14ac:dyDescent="0.25">
      <c r="A100" s="520"/>
      <c r="B100" s="520"/>
      <c r="C100" s="520"/>
      <c r="D100" s="520"/>
      <c r="E100" s="520"/>
      <c r="F100" s="520"/>
      <c r="G100" s="520"/>
      <c r="H100" s="520"/>
      <c r="O100" s="1"/>
    </row>
    <row r="101" spans="1:15" x14ac:dyDescent="0.25">
      <c r="A101" s="568" t="s">
        <v>278</v>
      </c>
      <c r="B101" s="569"/>
      <c r="C101" s="569"/>
      <c r="D101" s="570"/>
      <c r="E101" s="128" t="s">
        <v>43</v>
      </c>
      <c r="F101" s="554" t="s">
        <v>279</v>
      </c>
      <c r="G101" s="555"/>
      <c r="H101" s="556"/>
      <c r="O101" s="1"/>
    </row>
    <row r="102" spans="1:15" x14ac:dyDescent="0.25">
      <c r="A102" s="108">
        <v>1</v>
      </c>
      <c r="B102" s="543" t="s">
        <v>280</v>
      </c>
      <c r="C102" s="544"/>
      <c r="D102" s="545"/>
      <c r="E102" s="133">
        <f>$C$5</f>
        <v>5.8099999999999999E-2</v>
      </c>
      <c r="F102" s="577"/>
      <c r="G102" s="578"/>
      <c r="H102" s="579"/>
      <c r="O102" s="1"/>
    </row>
    <row r="103" spans="1:15" x14ac:dyDescent="0.25">
      <c r="A103" s="108">
        <v>2</v>
      </c>
      <c r="B103" s="543" t="s">
        <v>281</v>
      </c>
      <c r="C103" s="544"/>
      <c r="D103" s="545"/>
      <c r="E103" s="133">
        <f>$C$6</f>
        <v>7.1999999999999995E-2</v>
      </c>
      <c r="F103" s="580"/>
      <c r="G103" s="581"/>
      <c r="H103" s="582"/>
      <c r="O103" s="1"/>
    </row>
    <row r="104" spans="1:15" x14ac:dyDescent="0.25">
      <c r="A104" s="108">
        <v>3</v>
      </c>
      <c r="B104" s="543" t="s">
        <v>38</v>
      </c>
      <c r="C104" s="544"/>
      <c r="D104" s="545"/>
      <c r="E104" s="133">
        <f>'Indicadores Financeiros'!$F$12</f>
        <v>1.6500000000000001E-2</v>
      </c>
      <c r="F104" s="580"/>
      <c r="G104" s="581"/>
      <c r="H104" s="582"/>
      <c r="O104" s="1"/>
    </row>
    <row r="105" spans="1:15" x14ac:dyDescent="0.25">
      <c r="A105" s="108">
        <v>4</v>
      </c>
      <c r="B105" s="543" t="s">
        <v>37</v>
      </c>
      <c r="C105" s="544"/>
      <c r="D105" s="545"/>
      <c r="E105" s="133">
        <f>'Indicadores Financeiros'!$F$11</f>
        <v>7.5999999999999998E-2</v>
      </c>
      <c r="F105" s="580"/>
      <c r="G105" s="581"/>
      <c r="H105" s="582"/>
      <c r="O105" s="1"/>
    </row>
    <row r="106" spans="1:15" x14ac:dyDescent="0.25">
      <c r="A106" s="108">
        <v>5</v>
      </c>
      <c r="B106" s="543" t="s">
        <v>153</v>
      </c>
      <c r="C106" s="544"/>
      <c r="D106" s="545"/>
      <c r="E106" s="133">
        <f>$F$8</f>
        <v>0.02</v>
      </c>
      <c r="F106" s="580"/>
      <c r="G106" s="581"/>
      <c r="H106" s="582"/>
      <c r="O106" s="1"/>
    </row>
    <row r="107" spans="1:15" x14ac:dyDescent="0.25">
      <c r="A107" s="108">
        <v>6</v>
      </c>
      <c r="B107" s="543" t="s">
        <v>282</v>
      </c>
      <c r="C107" s="544"/>
      <c r="D107" s="545"/>
      <c r="E107" s="133">
        <f>$C$10</f>
        <v>0</v>
      </c>
      <c r="F107" s="583"/>
      <c r="G107" s="584"/>
      <c r="H107" s="585"/>
      <c r="O107" s="1"/>
    </row>
    <row r="108" spans="1:15" x14ac:dyDescent="0.25">
      <c r="A108" s="517" t="s">
        <v>283</v>
      </c>
      <c r="B108" s="518"/>
      <c r="C108" s="518"/>
      <c r="D108" s="519"/>
      <c r="E108" s="134">
        <f>ROUND((1+E102)*(1+E103)/(1-E106-E105-E104-E107)-1,4)</f>
        <v>0.27810000000000001</v>
      </c>
      <c r="F108" s="562">
        <f>ROUND($E$108*$F$99,2)</f>
        <v>1226.45</v>
      </c>
      <c r="G108" s="563"/>
      <c r="H108" s="564"/>
      <c r="O108" s="1"/>
    </row>
    <row r="109" spans="1:15" ht="4.9000000000000004" customHeight="1" x14ac:dyDescent="0.25">
      <c r="A109" s="520"/>
      <c r="B109" s="520"/>
      <c r="C109" s="520"/>
      <c r="D109" s="520"/>
      <c r="E109" s="520"/>
      <c r="F109" s="520"/>
      <c r="G109" s="520"/>
      <c r="H109" s="520"/>
      <c r="O109" s="1"/>
    </row>
    <row r="110" spans="1:15" x14ac:dyDescent="0.25">
      <c r="A110" s="574" t="str">
        <f>CONCATENATE("Preço total mensal")</f>
        <v>Preço total mensal</v>
      </c>
      <c r="B110" s="575"/>
      <c r="C110" s="575"/>
      <c r="D110" s="575"/>
      <c r="E110" s="576"/>
      <c r="F110" s="571">
        <f>IF($G$15="M2",SUMIFS('Relatório Custo'!U:U,'Relatório Custo'!$E:$E,'Custo por Função'!$A$15,'Relatório Custo'!C:C,'Custo por Função'!$C$8),ROUND(F99+F108,2))</f>
        <v>5636.56</v>
      </c>
      <c r="G110" s="572"/>
      <c r="H110" s="573"/>
      <c r="I110" s="135"/>
      <c r="J110" s="246"/>
      <c r="K110" s="104"/>
      <c r="O110" s="1"/>
    </row>
    <row r="111" spans="1:15" ht="4.9000000000000004" customHeight="1" x14ac:dyDescent="0.25">
      <c r="A111" s="520"/>
      <c r="B111" s="520"/>
      <c r="C111" s="520"/>
      <c r="D111" s="520"/>
      <c r="E111" s="520"/>
      <c r="F111" s="520"/>
      <c r="G111" s="520"/>
      <c r="H111" s="520"/>
      <c r="O111" s="1"/>
    </row>
    <row r="112" spans="1:15" x14ac:dyDescent="0.25">
      <c r="A112" s="574" t="s">
        <v>284</v>
      </c>
      <c r="B112" s="575"/>
      <c r="C112" s="575"/>
      <c r="D112" s="575"/>
      <c r="E112" s="576"/>
      <c r="F112" s="571">
        <f>IF(OR($G$15="Hora"),ROUND($F$110/220,2),0)</f>
        <v>0</v>
      </c>
      <c r="G112" s="572"/>
      <c r="H112" s="573"/>
      <c r="O112" s="1"/>
    </row>
    <row r="113" spans="1:15" ht="9" customHeight="1" x14ac:dyDescent="0.25">
      <c r="A113" s="520"/>
      <c r="B113" s="520"/>
      <c r="C113" s="520"/>
      <c r="D113" s="520"/>
      <c r="E113" s="520"/>
      <c r="F113" s="520"/>
      <c r="G113" s="520"/>
      <c r="H113" s="520"/>
      <c r="O113" s="1"/>
    </row>
    <row r="114" spans="1:15" x14ac:dyDescent="0.25">
      <c r="A114" s="574" t="str">
        <f>CONCATENATE("PREÇO TOTAL MENSAL (preço total mensal individual X Qtde de ",$G$15,"s)")</f>
        <v>PREÇO TOTAL MENSAL (preço total mensal individual X Qtde de Postos)</v>
      </c>
      <c r="B114" s="575"/>
      <c r="C114" s="575"/>
      <c r="D114" s="575"/>
      <c r="E114" s="576"/>
      <c r="F114" s="571">
        <f>ROUND(F110*H15,2)</f>
        <v>5636.56</v>
      </c>
      <c r="G114" s="572"/>
      <c r="H114" s="573"/>
      <c r="J114" s="104"/>
      <c r="O114" s="1"/>
    </row>
    <row r="115" spans="1:15" ht="4.9000000000000004" customHeight="1" x14ac:dyDescent="0.25">
      <c r="A115" s="520"/>
      <c r="B115" s="520"/>
      <c r="C115" s="520"/>
      <c r="D115" s="520"/>
      <c r="E115" s="520"/>
      <c r="F115" s="520"/>
      <c r="G115" s="520"/>
      <c r="H115" s="520"/>
      <c r="O115" s="1"/>
    </row>
    <row r="116" spans="1:15" x14ac:dyDescent="0.25">
      <c r="A116" s="517" t="s">
        <v>1601</v>
      </c>
      <c r="B116" s="518"/>
      <c r="C116" s="518"/>
      <c r="D116" s="518"/>
      <c r="E116" s="519"/>
      <c r="F116" s="562">
        <f>IF(OR($G$15="Hora",$G$15="M2"),0,ROUND($F$110/$C$9,2))</f>
        <v>268.41000000000003</v>
      </c>
      <c r="G116" s="563"/>
      <c r="H116" s="564"/>
      <c r="I116" s="104"/>
      <c r="O116" s="1"/>
    </row>
    <row r="117" spans="1:15" ht="9" customHeight="1" x14ac:dyDescent="0.25">
      <c r="A117" s="520"/>
      <c r="B117" s="520"/>
      <c r="C117" s="520"/>
      <c r="D117" s="520"/>
      <c r="E117" s="520"/>
      <c r="F117" s="520"/>
      <c r="G117" s="520"/>
      <c r="H117" s="520"/>
      <c r="O117" s="1"/>
    </row>
    <row r="118" spans="1:15" x14ac:dyDescent="0.25">
      <c r="A118" s="497" t="s">
        <v>285</v>
      </c>
      <c r="B118" s="497"/>
      <c r="C118" s="497"/>
      <c r="D118" s="497"/>
      <c r="E118" s="497"/>
      <c r="F118" s="497"/>
      <c r="G118" s="497"/>
      <c r="H118" s="497"/>
      <c r="O118" s="1"/>
    </row>
    <row r="119" spans="1:15" x14ac:dyDescent="0.25">
      <c r="A119" s="136" t="s">
        <v>286</v>
      </c>
      <c r="B119" s="595" t="s">
        <v>106</v>
      </c>
      <c r="C119" s="595"/>
      <c r="D119" s="595"/>
      <c r="E119" s="595"/>
      <c r="F119" s="554" t="s">
        <v>287</v>
      </c>
      <c r="G119" s="555"/>
      <c r="H119" s="556"/>
      <c r="O119" s="1"/>
    </row>
    <row r="120" spans="1:15" x14ac:dyDescent="0.25">
      <c r="A120" s="108">
        <v>1</v>
      </c>
      <c r="B120" s="499" t="s">
        <v>288</v>
      </c>
      <c r="C120" s="499"/>
      <c r="D120" s="499"/>
      <c r="E120" s="499"/>
      <c r="F120" s="588">
        <f>IF(G15="Posto",D80-E80,0)</f>
        <v>19.37</v>
      </c>
      <c r="G120" s="589"/>
      <c r="H120" s="590"/>
      <c r="O120" s="1"/>
    </row>
    <row r="121" spans="1:15" x14ac:dyDescent="0.25">
      <c r="A121" s="108">
        <v>2</v>
      </c>
      <c r="B121" s="499" t="s">
        <v>289</v>
      </c>
      <c r="C121" s="499"/>
      <c r="D121" s="499"/>
      <c r="E121" s="499"/>
      <c r="F121" s="588">
        <f>IF(G15="Posto",ROUND(F81/C80,2),0)</f>
        <v>6.07</v>
      </c>
      <c r="G121" s="589"/>
      <c r="H121" s="590"/>
      <c r="J121" s="104"/>
      <c r="O121" s="1"/>
    </row>
    <row r="122" spans="1:15" x14ac:dyDescent="0.25">
      <c r="A122" s="108">
        <v>3</v>
      </c>
      <c r="B122" s="499" t="s">
        <v>290</v>
      </c>
      <c r="C122" s="499"/>
      <c r="D122" s="499"/>
      <c r="E122" s="499"/>
      <c r="F122" s="588">
        <f>IFERROR(ROUND(F96/$C$80,2),"")</f>
        <v>25.2</v>
      </c>
      <c r="G122" s="589"/>
      <c r="H122" s="590"/>
      <c r="O122" s="1"/>
    </row>
    <row r="123" spans="1:15" x14ac:dyDescent="0.25">
      <c r="A123" s="108">
        <v>4</v>
      </c>
      <c r="B123" s="499" t="s">
        <v>291</v>
      </c>
      <c r="C123" s="499"/>
      <c r="D123" s="499"/>
      <c r="E123" s="499"/>
      <c r="F123" s="588">
        <f>IF(G15="Posto",ROUND(H25*$F$73/$C$80,2),0)</f>
        <v>12.85</v>
      </c>
      <c r="G123" s="589"/>
      <c r="H123" s="590"/>
      <c r="I123" s="104"/>
      <c r="O123" s="1"/>
    </row>
    <row r="124" spans="1:15" x14ac:dyDescent="0.25">
      <c r="A124" s="591" t="s">
        <v>292</v>
      </c>
      <c r="B124" s="591"/>
      <c r="C124" s="591"/>
      <c r="D124" s="591"/>
      <c r="E124" s="591"/>
      <c r="F124" s="592">
        <f>SUM(F120:H123)</f>
        <v>63.49</v>
      </c>
      <c r="G124" s="593"/>
      <c r="H124" s="594"/>
      <c r="O124" s="1"/>
    </row>
    <row r="125" spans="1:15" x14ac:dyDescent="0.25">
      <c r="A125" s="108">
        <v>5</v>
      </c>
      <c r="B125" s="499" t="s">
        <v>293</v>
      </c>
      <c r="C125" s="499"/>
      <c r="D125" s="94" t="s">
        <v>43</v>
      </c>
      <c r="E125" s="137">
        <f>$C$11</f>
        <v>0.27810000000000001</v>
      </c>
      <c r="F125" s="588">
        <f>ROUND($E$125*$F$124,2)</f>
        <v>17.66</v>
      </c>
      <c r="G125" s="589"/>
      <c r="H125" s="590"/>
      <c r="O125" s="1"/>
    </row>
    <row r="126" spans="1:15" x14ac:dyDescent="0.25">
      <c r="A126" s="586" t="s">
        <v>294</v>
      </c>
      <c r="B126" s="586"/>
      <c r="C126" s="586"/>
      <c r="D126" s="586"/>
      <c r="E126" s="586"/>
      <c r="F126" s="562">
        <f>F124+F125</f>
        <v>81.150000000000006</v>
      </c>
      <c r="G126" s="563"/>
      <c r="H126" s="564"/>
      <c r="I126" s="104"/>
      <c r="J126" s="244">
        <f>IF(H15=0,0,ROUND(SUMIFS('Relatório Custo'!$AD:$AD,'Relatório Custo'!$E:$E,'Custo por Função'!A15,'Relatório Custo'!C:C,'Custo por Função'!$C$8)-F126,2))</f>
        <v>0</v>
      </c>
      <c r="O126" s="1"/>
    </row>
    <row r="127" spans="1:15" ht="9" customHeight="1" x14ac:dyDescent="0.25">
      <c r="A127" s="587"/>
      <c r="B127" s="587"/>
      <c r="C127" s="587"/>
      <c r="D127" s="587"/>
      <c r="E127" s="587"/>
      <c r="F127" s="587"/>
      <c r="G127" s="587"/>
      <c r="H127" s="587"/>
      <c r="O127" s="1"/>
    </row>
    <row r="128" spans="1:15" x14ac:dyDescent="0.25">
      <c r="I128" s="101"/>
      <c r="O128" s="1"/>
    </row>
    <row r="129" spans="1:15" x14ac:dyDescent="0.25">
      <c r="A129" s="138"/>
      <c r="B129" s="138"/>
      <c r="C129" s="138"/>
      <c r="D129" s="138"/>
      <c r="E129" s="138"/>
      <c r="F129" s="138"/>
      <c r="G129" s="138"/>
      <c r="H129" s="243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O157" s="1"/>
    </row>
    <row r="158" spans="1:15" x14ac:dyDescent="0.25">
      <c r="A158" s="1"/>
      <c r="B158" s="1"/>
      <c r="C158" s="1"/>
      <c r="D158" s="1"/>
      <c r="E158" s="1"/>
      <c r="F158" s="1"/>
      <c r="G158" s="1"/>
      <c r="H158" s="1"/>
      <c r="O158" s="1"/>
    </row>
    <row r="159" spans="1:15" x14ac:dyDescent="0.25">
      <c r="A159" s="1"/>
      <c r="B159" s="1"/>
      <c r="C159" s="1"/>
      <c r="D159" s="1"/>
      <c r="E159" s="1"/>
      <c r="F159" s="1"/>
      <c r="G159" s="1"/>
      <c r="H159" s="1"/>
      <c r="O159" s="1"/>
    </row>
    <row r="160" spans="1:15" x14ac:dyDescent="0.25">
      <c r="A160" s="1"/>
      <c r="B160" s="1"/>
      <c r="C160" s="1"/>
      <c r="D160" s="1"/>
      <c r="E160" s="1"/>
      <c r="F160" s="1"/>
      <c r="G160" s="1"/>
      <c r="H160" s="1"/>
      <c r="O160" s="1"/>
    </row>
    <row r="161" spans="1:15" x14ac:dyDescent="0.25">
      <c r="A161" s="1"/>
      <c r="B161" s="1"/>
      <c r="C161" s="1"/>
      <c r="D161" s="1"/>
      <c r="E161" s="1"/>
      <c r="F161" s="1"/>
      <c r="G161" s="1"/>
      <c r="H161" s="1"/>
      <c r="O161" s="1"/>
    </row>
    <row r="162" spans="1:15" x14ac:dyDescent="0.25">
      <c r="A162" s="1"/>
      <c r="B162" s="1"/>
      <c r="C162" s="1"/>
      <c r="D162" s="1"/>
      <c r="E162" s="1"/>
      <c r="F162" s="1"/>
      <c r="G162" s="1"/>
      <c r="H162" s="1"/>
      <c r="O162" s="1"/>
    </row>
    <row r="163" spans="1:15" x14ac:dyDescent="0.25">
      <c r="A163" s="1"/>
      <c r="B163" s="1"/>
      <c r="C163" s="1"/>
      <c r="D163" s="1"/>
      <c r="E163" s="1"/>
      <c r="F163" s="1"/>
      <c r="G163" s="1"/>
      <c r="H163" s="1"/>
      <c r="O163" s="1"/>
    </row>
    <row r="164" spans="1:15" x14ac:dyDescent="0.25">
      <c r="A164" s="1"/>
      <c r="B164" s="1"/>
      <c r="C164" s="1"/>
      <c r="D164" s="1"/>
      <c r="E164" s="1"/>
      <c r="F164" s="1"/>
      <c r="G164" s="1"/>
      <c r="H164" s="1"/>
      <c r="O164" s="1"/>
    </row>
    <row r="165" spans="1:15" x14ac:dyDescent="0.25">
      <c r="A165" s="1"/>
      <c r="B165" s="1"/>
      <c r="C165" s="1"/>
      <c r="D165" s="1"/>
      <c r="E165" s="1"/>
      <c r="F165" s="1"/>
      <c r="G165" s="1"/>
      <c r="H165" s="1"/>
      <c r="O165" s="1"/>
    </row>
    <row r="166" spans="1:15" x14ac:dyDescent="0.25">
      <c r="A166" s="1"/>
      <c r="B166" s="1"/>
      <c r="C166" s="1"/>
      <c r="D166" s="1"/>
      <c r="E166" s="1"/>
      <c r="F166" s="1"/>
      <c r="G166" s="1"/>
      <c r="H166" s="1"/>
      <c r="O166" s="1"/>
    </row>
    <row r="167" spans="1:15" x14ac:dyDescent="0.25">
      <c r="A167" s="1"/>
      <c r="B167" s="1"/>
      <c r="C167" s="1"/>
      <c r="D167" s="1"/>
      <c r="E167" s="1"/>
      <c r="F167" s="1"/>
      <c r="G167" s="1"/>
      <c r="H167" s="1"/>
      <c r="O167" s="1"/>
    </row>
    <row r="168" spans="1:15" x14ac:dyDescent="0.25">
      <c r="A168" s="1"/>
      <c r="B168" s="1"/>
      <c r="C168" s="1"/>
      <c r="D168" s="1"/>
      <c r="E168" s="1"/>
      <c r="F168" s="1"/>
      <c r="G168" s="1"/>
      <c r="H168" s="1"/>
      <c r="O168" s="1"/>
    </row>
    <row r="169" spans="1:15" x14ac:dyDescent="0.25">
      <c r="A169" s="1"/>
      <c r="B169" s="1"/>
      <c r="C169" s="1"/>
      <c r="D169" s="1"/>
      <c r="E169" s="1"/>
      <c r="F169" s="1"/>
      <c r="G169" s="1"/>
      <c r="H169" s="1"/>
      <c r="O169" s="1"/>
    </row>
    <row r="170" spans="1:15" x14ac:dyDescent="0.25">
      <c r="A170" s="1"/>
      <c r="B170" s="1"/>
      <c r="C170" s="1"/>
      <c r="D170" s="1"/>
      <c r="E170" s="1"/>
      <c r="F170" s="1"/>
      <c r="G170" s="1"/>
      <c r="H170" s="1"/>
      <c r="O170" s="1"/>
    </row>
    <row r="171" spans="1:15" x14ac:dyDescent="0.25">
      <c r="A171" s="1"/>
      <c r="B171" s="1"/>
      <c r="C171" s="1"/>
      <c r="D171" s="1"/>
      <c r="E171" s="1"/>
      <c r="F171" s="1"/>
      <c r="G171" s="1"/>
      <c r="H171" s="1"/>
      <c r="O171" s="1"/>
    </row>
    <row r="172" spans="1:15" x14ac:dyDescent="0.25">
      <c r="A172" s="1"/>
      <c r="B172" s="1"/>
      <c r="C172" s="1"/>
      <c r="D172" s="1"/>
      <c r="E172" s="1"/>
      <c r="F172" s="1"/>
      <c r="G172" s="1"/>
      <c r="H172" s="1"/>
      <c r="O172" s="1"/>
    </row>
    <row r="173" spans="1:15" x14ac:dyDescent="0.25">
      <c r="A173" s="1"/>
      <c r="B173" s="1"/>
      <c r="C173" s="1"/>
      <c r="D173" s="1"/>
      <c r="E173" s="1"/>
      <c r="F173" s="1"/>
      <c r="G173" s="1"/>
      <c r="H173" s="1"/>
      <c r="O173" s="1"/>
    </row>
    <row r="174" spans="1:15" x14ac:dyDescent="0.25">
      <c r="A174" s="1"/>
      <c r="B174" s="1"/>
      <c r="C174" s="1"/>
      <c r="D174" s="1"/>
      <c r="E174" s="1"/>
      <c r="F174" s="1"/>
      <c r="G174" s="1"/>
      <c r="H174" s="1"/>
      <c r="O174" s="1"/>
    </row>
    <row r="175" spans="1:15" x14ac:dyDescent="0.25">
      <c r="A175" s="1"/>
      <c r="B175" s="1"/>
      <c r="C175" s="1"/>
      <c r="D175" s="1"/>
      <c r="E175" s="1"/>
      <c r="F175" s="1"/>
      <c r="G175" s="1"/>
      <c r="H175" s="1"/>
      <c r="O175" s="1"/>
    </row>
    <row r="176" spans="1:15" x14ac:dyDescent="0.25">
      <c r="A176" s="1"/>
      <c r="B176" s="1"/>
      <c r="C176" s="1"/>
      <c r="D176" s="1"/>
      <c r="E176" s="1"/>
      <c r="F176" s="1"/>
      <c r="G176" s="1"/>
      <c r="H176" s="1"/>
      <c r="O176" s="1"/>
    </row>
    <row r="177" spans="1:15" x14ac:dyDescent="0.25">
      <c r="A177" s="1"/>
      <c r="B177" s="1"/>
      <c r="C177" s="1"/>
      <c r="D177" s="1"/>
      <c r="E177" s="1"/>
      <c r="F177" s="1"/>
      <c r="G177" s="1"/>
      <c r="H177" s="1"/>
      <c r="O177" s="1"/>
    </row>
    <row r="178" spans="1:15" x14ac:dyDescent="0.25">
      <c r="A178" s="1"/>
      <c r="B178" s="1"/>
      <c r="C178" s="1"/>
      <c r="D178" s="1"/>
      <c r="E178" s="1"/>
      <c r="F178" s="1"/>
      <c r="G178" s="1"/>
      <c r="H178" s="1"/>
      <c r="O178" s="1"/>
    </row>
    <row r="179" spans="1:15" x14ac:dyDescent="0.25">
      <c r="A179" s="1"/>
      <c r="B179" s="1"/>
      <c r="C179" s="1"/>
      <c r="D179" s="1"/>
      <c r="E179" s="1"/>
      <c r="F179" s="1"/>
      <c r="G179" s="1"/>
      <c r="H179" s="1"/>
      <c r="O179" s="1"/>
    </row>
    <row r="180" spans="1:15" x14ac:dyDescent="0.25">
      <c r="A180" s="1"/>
      <c r="B180" s="1"/>
      <c r="C180" s="1"/>
      <c r="D180" s="1"/>
      <c r="E180" s="1"/>
      <c r="F180" s="1"/>
      <c r="G180" s="1"/>
      <c r="H180" s="1"/>
      <c r="O180" s="1"/>
    </row>
    <row r="181" spans="1:15" x14ac:dyDescent="0.25">
      <c r="A181" s="1"/>
      <c r="B181" s="1"/>
      <c r="C181" s="1"/>
      <c r="D181" s="1"/>
      <c r="E181" s="1"/>
      <c r="F181" s="1"/>
      <c r="G181" s="1"/>
      <c r="H181" s="1"/>
      <c r="O181" s="1"/>
    </row>
    <row r="182" spans="1:15" x14ac:dyDescent="0.25">
      <c r="A182" s="1"/>
      <c r="B182" s="1"/>
      <c r="C182" s="1"/>
      <c r="D182" s="1"/>
      <c r="E182" s="1"/>
      <c r="F182" s="1"/>
      <c r="G182" s="1"/>
      <c r="H182" s="1"/>
      <c r="O182" s="1"/>
    </row>
    <row r="183" spans="1:15" x14ac:dyDescent="0.25">
      <c r="A183" s="1"/>
      <c r="B183" s="1"/>
      <c r="C183" s="1"/>
      <c r="D183" s="1"/>
      <c r="E183" s="1"/>
      <c r="F183" s="1"/>
      <c r="G183" s="1"/>
      <c r="H183" s="1"/>
      <c r="O183" s="1"/>
    </row>
    <row r="184" spans="1:15" x14ac:dyDescent="0.25">
      <c r="A184" s="1"/>
      <c r="B184" s="1"/>
      <c r="C184" s="1"/>
      <c r="D184" s="1"/>
      <c r="E184" s="1"/>
      <c r="F184" s="1"/>
      <c r="G184" s="1"/>
      <c r="H184" s="1"/>
      <c r="O184" s="1"/>
    </row>
    <row r="185" spans="1:15" x14ac:dyDescent="0.25">
      <c r="A185" s="1"/>
      <c r="B185" s="1"/>
      <c r="C185" s="1"/>
      <c r="D185" s="1"/>
      <c r="E185" s="1"/>
      <c r="F185" s="1"/>
      <c r="G185" s="1"/>
      <c r="H185" s="1"/>
      <c r="O185" s="1"/>
    </row>
    <row r="186" spans="1:15" x14ac:dyDescent="0.25">
      <c r="A186" s="1"/>
      <c r="B186" s="1"/>
      <c r="C186" s="1"/>
      <c r="D186" s="1"/>
      <c r="E186" s="1"/>
      <c r="F186" s="1"/>
      <c r="G186" s="1"/>
      <c r="H186" s="1"/>
      <c r="O186" s="1"/>
    </row>
    <row r="187" spans="1:15" x14ac:dyDescent="0.25">
      <c r="A187" s="1"/>
      <c r="B187" s="1"/>
      <c r="C187" s="1"/>
      <c r="D187" s="1"/>
      <c r="E187" s="1"/>
      <c r="F187" s="1"/>
      <c r="G187" s="1"/>
      <c r="H187" s="1"/>
      <c r="O187" s="1"/>
    </row>
    <row r="188" spans="1:15" x14ac:dyDescent="0.25">
      <c r="A188" s="1"/>
      <c r="B188" s="1"/>
      <c r="C188" s="1"/>
      <c r="D188" s="1"/>
      <c r="E188" s="1"/>
      <c r="F188" s="1"/>
      <c r="G188" s="1"/>
      <c r="H188" s="1"/>
      <c r="O188" s="1"/>
    </row>
    <row r="189" spans="1:15" x14ac:dyDescent="0.25">
      <c r="A189" s="1"/>
      <c r="B189" s="1"/>
      <c r="C189" s="1"/>
      <c r="D189" s="1"/>
      <c r="E189" s="1"/>
      <c r="F189" s="1"/>
      <c r="G189" s="1"/>
      <c r="H189" s="1"/>
      <c r="O189" s="1"/>
    </row>
    <row r="190" spans="1:15" x14ac:dyDescent="0.25">
      <c r="A190" s="1"/>
      <c r="B190" s="1"/>
      <c r="C190" s="1"/>
      <c r="D190" s="1"/>
      <c r="E190" s="1"/>
      <c r="F190" s="1"/>
      <c r="G190" s="1"/>
      <c r="H190" s="1"/>
      <c r="O190" s="1"/>
    </row>
    <row r="191" spans="1:15" x14ac:dyDescent="0.25">
      <c r="A191" s="1"/>
      <c r="B191" s="1"/>
      <c r="C191" s="1"/>
      <c r="D191" s="1"/>
      <c r="E191" s="1"/>
      <c r="F191" s="1"/>
      <c r="G191" s="1"/>
      <c r="H191" s="1"/>
      <c r="O191" s="1"/>
    </row>
    <row r="192" spans="1:15" x14ac:dyDescent="0.25">
      <c r="A192" s="1"/>
      <c r="B192" s="1"/>
      <c r="C192" s="1"/>
      <c r="D192" s="1"/>
      <c r="E192" s="1"/>
      <c r="F192" s="1"/>
      <c r="G192" s="1"/>
      <c r="H192" s="1"/>
      <c r="O192" s="1"/>
    </row>
    <row r="193" spans="1:15" x14ac:dyDescent="0.25">
      <c r="A193" s="1"/>
      <c r="B193" s="1"/>
      <c r="C193" s="1"/>
      <c r="D193" s="1"/>
      <c r="E193" s="1"/>
      <c r="F193" s="1"/>
      <c r="G193" s="1"/>
      <c r="H193" s="1"/>
      <c r="O193" s="1"/>
    </row>
    <row r="194" spans="1:15" x14ac:dyDescent="0.25">
      <c r="A194" s="1"/>
      <c r="B194" s="1"/>
      <c r="C194" s="1"/>
      <c r="D194" s="1"/>
      <c r="E194" s="1"/>
      <c r="F194" s="1"/>
      <c r="G194" s="1"/>
      <c r="H194" s="1"/>
      <c r="O194" s="1"/>
    </row>
    <row r="195" spans="1:15" x14ac:dyDescent="0.25">
      <c r="A195" s="1"/>
      <c r="B195" s="1"/>
      <c r="C195" s="1"/>
      <c r="D195" s="1"/>
      <c r="E195" s="1"/>
      <c r="F195" s="1"/>
      <c r="G195" s="1"/>
      <c r="H195" s="1"/>
      <c r="O195" s="1"/>
    </row>
    <row r="196" spans="1:15" x14ac:dyDescent="0.25">
      <c r="A196" s="1"/>
      <c r="B196" s="1"/>
      <c r="C196" s="1"/>
      <c r="D196" s="1"/>
      <c r="E196" s="1"/>
      <c r="F196" s="1"/>
      <c r="G196" s="1"/>
      <c r="H196" s="1"/>
      <c r="O196" s="1"/>
    </row>
    <row r="197" spans="1:15" x14ac:dyDescent="0.25">
      <c r="A197" s="1"/>
      <c r="B197" s="1"/>
      <c r="C197" s="1"/>
      <c r="D197" s="1"/>
      <c r="E197" s="1"/>
      <c r="F197" s="1"/>
      <c r="G197" s="1"/>
      <c r="H197" s="1"/>
      <c r="O197" s="1"/>
    </row>
    <row r="198" spans="1:15" x14ac:dyDescent="0.25">
      <c r="A198" s="1"/>
      <c r="B198" s="1"/>
      <c r="C198" s="1"/>
      <c r="D198" s="1"/>
      <c r="E198" s="1"/>
      <c r="F198" s="1"/>
      <c r="G198" s="1"/>
      <c r="H198" s="1"/>
      <c r="O198" s="1"/>
    </row>
    <row r="199" spans="1:15" x14ac:dyDescent="0.25">
      <c r="A199" s="1"/>
      <c r="B199" s="1"/>
      <c r="C199" s="1"/>
      <c r="D199" s="1"/>
      <c r="E199" s="1"/>
      <c r="F199" s="1"/>
      <c r="G199" s="1"/>
      <c r="H199" s="1"/>
      <c r="O199" s="1"/>
    </row>
  </sheetData>
  <sortState xmlns:xlrd2="http://schemas.microsoft.com/office/spreadsheetml/2017/richdata2" ref="B83:E90">
    <sortCondition ref="B83"/>
  </sortState>
  <dataConsolidate/>
  <mergeCells count="212">
    <mergeCell ref="B107:D107"/>
    <mergeCell ref="F102:H107"/>
    <mergeCell ref="A126:E126"/>
    <mergeCell ref="F126:H126"/>
    <mergeCell ref="A127:H127"/>
    <mergeCell ref="B123:E123"/>
    <mergeCell ref="F123:H123"/>
    <mergeCell ref="A124:E124"/>
    <mergeCell ref="F124:H124"/>
    <mergeCell ref="B125:C125"/>
    <mergeCell ref="F125:H125"/>
    <mergeCell ref="B120:E120"/>
    <mergeCell ref="F120:H120"/>
    <mergeCell ref="B121:E121"/>
    <mergeCell ref="F121:H121"/>
    <mergeCell ref="B122:E122"/>
    <mergeCell ref="F122:H122"/>
    <mergeCell ref="A116:E116"/>
    <mergeCell ref="F116:H116"/>
    <mergeCell ref="A117:H117"/>
    <mergeCell ref="A118:H118"/>
    <mergeCell ref="B119:E119"/>
    <mergeCell ref="F119:H119"/>
    <mergeCell ref="A112:E112"/>
    <mergeCell ref="F112:H112"/>
    <mergeCell ref="A113:H113"/>
    <mergeCell ref="A114:E114"/>
    <mergeCell ref="F114:H114"/>
    <mergeCell ref="A115:H115"/>
    <mergeCell ref="A108:D108"/>
    <mergeCell ref="F108:H108"/>
    <mergeCell ref="A109:H109"/>
    <mergeCell ref="A110:E110"/>
    <mergeCell ref="F110:H110"/>
    <mergeCell ref="A111:H111"/>
    <mergeCell ref="A101:D101"/>
    <mergeCell ref="F101:H101"/>
    <mergeCell ref="B102:D102"/>
    <mergeCell ref="B103:D103"/>
    <mergeCell ref="B104:D104"/>
    <mergeCell ref="B105:D105"/>
    <mergeCell ref="B106:D106"/>
    <mergeCell ref="A97:E97"/>
    <mergeCell ref="F97:H97"/>
    <mergeCell ref="A98:H98"/>
    <mergeCell ref="A99:E99"/>
    <mergeCell ref="F99:H99"/>
    <mergeCell ref="A100:H100"/>
    <mergeCell ref="A93:E93"/>
    <mergeCell ref="F93:H93"/>
    <mergeCell ref="A94:H94"/>
    <mergeCell ref="A95:D95"/>
    <mergeCell ref="F95:H95"/>
    <mergeCell ref="B96:D96"/>
    <mergeCell ref="F96:H96"/>
    <mergeCell ref="B88:E88"/>
    <mergeCell ref="F88:H88"/>
    <mergeCell ref="B89:E89"/>
    <mergeCell ref="F89:H89"/>
    <mergeCell ref="B90:E90"/>
    <mergeCell ref="F90:H90"/>
    <mergeCell ref="B91:E91"/>
    <mergeCell ref="F91:H91"/>
    <mergeCell ref="B92:E92"/>
    <mergeCell ref="F92:H92"/>
    <mergeCell ref="B86:E86"/>
    <mergeCell ref="F86:H86"/>
    <mergeCell ref="F87:H87"/>
    <mergeCell ref="B87:E87"/>
    <mergeCell ref="A82:H82"/>
    <mergeCell ref="B83:E83"/>
    <mergeCell ref="F83:H83"/>
    <mergeCell ref="B84:E84"/>
    <mergeCell ref="F84:H84"/>
    <mergeCell ref="B85:E85"/>
    <mergeCell ref="F85:H85"/>
    <mergeCell ref="A77:E77"/>
    <mergeCell ref="F77:H77"/>
    <mergeCell ref="A78:H78"/>
    <mergeCell ref="B79:C79"/>
    <mergeCell ref="F79:H79"/>
    <mergeCell ref="C80:C81"/>
    <mergeCell ref="F80:H80"/>
    <mergeCell ref="F81:H81"/>
    <mergeCell ref="A73:E73"/>
    <mergeCell ref="F73:G73"/>
    <mergeCell ref="A74:H74"/>
    <mergeCell ref="A75:E75"/>
    <mergeCell ref="F75:G75"/>
    <mergeCell ref="A76:H76"/>
    <mergeCell ref="F69:G69"/>
    <mergeCell ref="B70:E70"/>
    <mergeCell ref="F70:G70"/>
    <mergeCell ref="B71:E71"/>
    <mergeCell ref="F71:G71"/>
    <mergeCell ref="B72:E72"/>
    <mergeCell ref="F72:G72"/>
    <mergeCell ref="A64:E64"/>
    <mergeCell ref="F64:G64"/>
    <mergeCell ref="A65:H65"/>
    <mergeCell ref="A66:H66"/>
    <mergeCell ref="B67:E67"/>
    <mergeCell ref="F67:G67"/>
    <mergeCell ref="H67:H72"/>
    <mergeCell ref="B68:E68"/>
    <mergeCell ref="F68:G68"/>
    <mergeCell ref="B69:E69"/>
    <mergeCell ref="B61:E61"/>
    <mergeCell ref="F61:G61"/>
    <mergeCell ref="H61:H63"/>
    <mergeCell ref="B62:E62"/>
    <mergeCell ref="F62:G62"/>
    <mergeCell ref="B63:E63"/>
    <mergeCell ref="F63:G63"/>
    <mergeCell ref="B56:E56"/>
    <mergeCell ref="F56:G56"/>
    <mergeCell ref="A58:E58"/>
    <mergeCell ref="F58:G58"/>
    <mergeCell ref="A59:H59"/>
    <mergeCell ref="A60:H60"/>
    <mergeCell ref="H50:H57"/>
    <mergeCell ref="B57:E57"/>
    <mergeCell ref="F57:G57"/>
    <mergeCell ref="B54:E54"/>
    <mergeCell ref="F54:G54"/>
    <mergeCell ref="B55:E55"/>
    <mergeCell ref="F55:G55"/>
    <mergeCell ref="A43:E43"/>
    <mergeCell ref="F43:G43"/>
    <mergeCell ref="A44:H44"/>
    <mergeCell ref="A45:H45"/>
    <mergeCell ref="B46:E46"/>
    <mergeCell ref="F46:G46"/>
    <mergeCell ref="F52:G52"/>
    <mergeCell ref="B53:E53"/>
    <mergeCell ref="F53:G53"/>
    <mergeCell ref="A47:E47"/>
    <mergeCell ref="F47:G47"/>
    <mergeCell ref="A48:H48"/>
    <mergeCell ref="A49:H49"/>
    <mergeCell ref="B50:E50"/>
    <mergeCell ref="F50:G50"/>
    <mergeCell ref="B51:E51"/>
    <mergeCell ref="F51:G51"/>
    <mergeCell ref="B52:E52"/>
    <mergeCell ref="B40:E40"/>
    <mergeCell ref="F40:G40"/>
    <mergeCell ref="H40:H42"/>
    <mergeCell ref="B41:E41"/>
    <mergeCell ref="F41:G41"/>
    <mergeCell ref="B42:E42"/>
    <mergeCell ref="F42:G42"/>
    <mergeCell ref="B36:E36"/>
    <mergeCell ref="F36:G36"/>
    <mergeCell ref="A37:E37"/>
    <mergeCell ref="F37:G37"/>
    <mergeCell ref="A38:H38"/>
    <mergeCell ref="A39:H39"/>
    <mergeCell ref="B33:E33"/>
    <mergeCell ref="F33:G33"/>
    <mergeCell ref="B34:E34"/>
    <mergeCell ref="F34:G34"/>
    <mergeCell ref="B35:E35"/>
    <mergeCell ref="F35:G35"/>
    <mergeCell ref="A28:H28"/>
    <mergeCell ref="B29:E29"/>
    <mergeCell ref="F29:G29"/>
    <mergeCell ref="H29:H36"/>
    <mergeCell ref="B30:E30"/>
    <mergeCell ref="F30:G30"/>
    <mergeCell ref="B31:E31"/>
    <mergeCell ref="F31:G31"/>
    <mergeCell ref="B32:E32"/>
    <mergeCell ref="F32:G32"/>
    <mergeCell ref="A18:G18"/>
    <mergeCell ref="A19:G19"/>
    <mergeCell ref="A20:G20"/>
    <mergeCell ref="A25:G25"/>
    <mergeCell ref="A26:H26"/>
    <mergeCell ref="A27:H27"/>
    <mergeCell ref="A12:H12"/>
    <mergeCell ref="A13:H13"/>
    <mergeCell ref="A16:H16"/>
    <mergeCell ref="A17:H17"/>
    <mergeCell ref="B14:E14"/>
    <mergeCell ref="B15:E15"/>
    <mergeCell ref="A21:G21"/>
    <mergeCell ref="A22:G22"/>
    <mergeCell ref="A23:G23"/>
    <mergeCell ref="A24:G24"/>
    <mergeCell ref="A9:B9"/>
    <mergeCell ref="C9:H9"/>
    <mergeCell ref="A11:B11"/>
    <mergeCell ref="C11:H11"/>
    <mergeCell ref="A5:B5"/>
    <mergeCell ref="C5:H5"/>
    <mergeCell ref="A6:B6"/>
    <mergeCell ref="C6:H6"/>
    <mergeCell ref="A7:B7"/>
    <mergeCell ref="C7:H7"/>
    <mergeCell ref="A10:B10"/>
    <mergeCell ref="C10:H10"/>
    <mergeCell ref="A1:H1"/>
    <mergeCell ref="A2:B2"/>
    <mergeCell ref="C2:H2"/>
    <mergeCell ref="A3:B3"/>
    <mergeCell ref="C3:H3"/>
    <mergeCell ref="A4:B4"/>
    <mergeCell ref="C4:H4"/>
    <mergeCell ref="A8:B8"/>
    <mergeCell ref="C8:D8"/>
    <mergeCell ref="F8:H8"/>
  </mergeCells>
  <conditionalFormatting sqref="J14">
    <cfRule type="notContainsBlanks" dxfId="0" priority="1">
      <formula>LEN(TRIM(J14))&gt;0</formula>
    </cfRule>
  </conditionalFormatting>
  <pageMargins left="0.70866141732283472" right="0.15748031496062992" top="0.59055118110236227" bottom="0.43307086614173229" header="0.27559055118110237" footer="0.15748031496062992"/>
  <pageSetup paperSize="9" scale="85" fitToHeight="2" orientation="portrait" r:id="rId1"/>
  <headerFooter>
    <oddHeader>&amp;C&amp;"-,Negrito"PLANILHA DE COMPOSIÇÃO DE CUSTOSCUSTO POR FUNÇÃO</oddHeader>
    <oddFooter>&amp;R&amp;8&amp;P/&amp;N</oddFooter>
  </headerFooter>
  <rowBreaks count="1" manualBreakCount="1">
    <brk id="59" max="7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'Indicadores Financeiros'!$C$145:$C$208</xm:f>
          </x14:formula1>
          <xm:sqref>C8:D8</xm:sqref>
        </x14:dataValidation>
        <x14:dataValidation type="list" allowBlank="1" showInputMessage="1" showErrorMessage="1" xr:uid="{00000000-0002-0000-0500-000000000000}">
          <x14:formula1>
            <xm:f>'Tabela de Códigos e Valores'!$A$5:$A$40</xm:f>
          </x14:formula1>
          <xm:sqref>A15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pageSetUpPr fitToPage="1"/>
  </sheetPr>
  <dimension ref="A1:CW1496"/>
  <sheetViews>
    <sheetView zoomScaleNormal="100" workbookViewId="0">
      <pane xSplit="2" ySplit="4" topLeftCell="C5" activePane="bottomRight" state="frozen"/>
      <selection pane="topRight" activeCell="P10" sqref="P10"/>
      <selection pane="bottomLeft" activeCell="P10" sqref="P10"/>
      <selection pane="bottomRight" activeCell="U5" sqref="U5"/>
    </sheetView>
  </sheetViews>
  <sheetFormatPr defaultColWidth="8.85546875" defaultRowHeight="12.75" x14ac:dyDescent="0.25"/>
  <cols>
    <col min="1" max="1" width="10.7109375" style="195" customWidth="1"/>
    <col min="2" max="2" width="50.140625" style="194" customWidth="1"/>
    <col min="3" max="3" width="7" style="195" customWidth="1"/>
    <col min="4" max="4" width="53.140625" style="194" customWidth="1"/>
    <col min="5" max="5" width="14.85546875" style="194" bestFit="1" customWidth="1"/>
    <col min="6" max="6" width="12.7109375" style="194" customWidth="1"/>
    <col min="7" max="7" width="11.28515625" style="194" customWidth="1"/>
    <col min="8" max="9" width="8.28515625" style="194" customWidth="1"/>
    <col min="10" max="10" width="10.7109375" style="194" customWidth="1"/>
    <col min="11" max="11" width="12.5703125" style="195" customWidth="1"/>
    <col min="12" max="12" width="9.85546875" style="195" customWidth="1"/>
    <col min="13" max="13" width="12.7109375" style="195" customWidth="1"/>
    <col min="14" max="14" width="11.85546875" style="194" customWidth="1"/>
    <col min="15" max="15" width="12" style="194" customWidth="1"/>
    <col min="16" max="16" width="12.7109375" style="194" customWidth="1"/>
    <col min="17" max="17" width="10.5703125" style="194" customWidth="1"/>
    <col min="18" max="18" width="11.7109375" style="196" customWidth="1"/>
    <col min="19" max="19" width="10.140625" style="194" bestFit="1" customWidth="1"/>
    <col min="20" max="20" width="11.7109375" style="194" customWidth="1"/>
    <col min="21" max="21" width="11.5703125" style="194" customWidth="1"/>
    <col min="22" max="22" width="9.7109375" style="194" bestFit="1" customWidth="1"/>
    <col min="23" max="23" width="12.7109375" style="194" customWidth="1"/>
    <col min="24" max="24" width="13.28515625" style="194" bestFit="1" customWidth="1"/>
    <col min="25" max="25" width="10" style="194" customWidth="1"/>
    <col min="26" max="26" width="9.7109375" style="194" customWidth="1"/>
    <col min="27" max="27" width="8.7109375" style="194" customWidth="1"/>
    <col min="28" max="28" width="10.7109375" style="197" customWidth="1"/>
    <col min="29" max="29" width="10.28515625" style="194" customWidth="1"/>
    <col min="30" max="30" width="10.85546875" style="194" customWidth="1"/>
    <col min="31" max="31" width="9.7109375" style="194" customWidth="1"/>
    <col min="32" max="32" width="8.7109375" style="194" customWidth="1"/>
    <col min="33" max="33" width="12.85546875" style="197" bestFit="1" customWidth="1"/>
    <col min="34" max="34" width="9.7109375" style="194" customWidth="1"/>
    <col min="35" max="35" width="11.85546875" style="194" bestFit="1" customWidth="1"/>
    <col min="36" max="36" width="14.28515625" style="197" customWidth="1"/>
    <col min="37" max="37" width="8.85546875" style="213"/>
    <col min="38" max="38" width="10.85546875" style="213" bestFit="1" customWidth="1"/>
    <col min="39" max="101" width="8.85546875" style="213"/>
    <col min="102" max="16384" width="8.85546875" style="194"/>
  </cols>
  <sheetData>
    <row r="1" spans="1:101" x14ac:dyDescent="0.25">
      <c r="A1" s="198" t="s">
        <v>295</v>
      </c>
      <c r="B1" s="224" t="s">
        <v>238</v>
      </c>
      <c r="C1" s="223"/>
      <c r="D1" s="213"/>
      <c r="E1" s="213"/>
      <c r="F1" s="213"/>
      <c r="G1" s="213"/>
      <c r="H1" s="213"/>
      <c r="I1" s="213"/>
      <c r="J1" s="213"/>
      <c r="K1" s="212"/>
      <c r="L1" s="212"/>
      <c r="M1" s="212"/>
      <c r="N1" s="213"/>
      <c r="O1" s="213"/>
      <c r="P1" s="213"/>
      <c r="Q1" s="213"/>
      <c r="R1" s="214"/>
      <c r="S1" s="213"/>
      <c r="T1" s="213"/>
      <c r="U1" s="213"/>
      <c r="V1" s="213"/>
      <c r="W1" s="213"/>
      <c r="X1" s="213"/>
      <c r="Y1" s="213"/>
      <c r="Z1" s="213"/>
      <c r="AA1" s="213"/>
      <c r="AB1" s="215"/>
      <c r="AC1" s="213"/>
      <c r="AD1" s="213"/>
      <c r="AE1" s="213"/>
      <c r="AF1" s="216"/>
      <c r="AG1" s="217"/>
      <c r="AH1" s="216"/>
      <c r="AI1" s="216"/>
      <c r="AJ1" s="231"/>
    </row>
    <row r="2" spans="1:101" ht="7.15" customHeight="1" x14ac:dyDescent="0.25">
      <c r="C2" s="218"/>
      <c r="D2" s="219"/>
      <c r="E2" s="219"/>
      <c r="F2" s="219"/>
      <c r="G2" s="219"/>
      <c r="H2" s="219"/>
      <c r="I2" s="219"/>
      <c r="J2" s="219"/>
      <c r="K2" s="218"/>
      <c r="L2" s="218"/>
      <c r="M2" s="218"/>
      <c r="N2" s="219"/>
      <c r="O2" s="219"/>
      <c r="P2" s="219"/>
      <c r="Q2" s="219"/>
      <c r="R2" s="220"/>
      <c r="S2" s="219"/>
      <c r="T2" s="219"/>
      <c r="U2" s="219"/>
      <c r="V2" s="219"/>
      <c r="W2" s="219"/>
      <c r="X2" s="219"/>
      <c r="Y2" s="219"/>
      <c r="Z2" s="219"/>
      <c r="AA2" s="219"/>
      <c r="AB2" s="221"/>
      <c r="AC2" s="219"/>
      <c r="AD2" s="222"/>
      <c r="AE2" s="222"/>
      <c r="AF2" s="219"/>
      <c r="AG2" s="221"/>
      <c r="AH2" s="219"/>
      <c r="AI2" s="219"/>
      <c r="AJ2" s="232"/>
    </row>
    <row r="3" spans="1:101" ht="14.45" customHeight="1" x14ac:dyDescent="0.25">
      <c r="A3" s="603" t="s">
        <v>99</v>
      </c>
      <c r="B3" s="603" t="s">
        <v>106</v>
      </c>
      <c r="C3" s="596" t="s">
        <v>105</v>
      </c>
      <c r="D3" s="603" t="s">
        <v>106</v>
      </c>
      <c r="E3" s="596" t="s">
        <v>163</v>
      </c>
      <c r="F3" s="596" t="s">
        <v>164</v>
      </c>
      <c r="G3" s="596" t="s">
        <v>296</v>
      </c>
      <c r="H3" s="596" t="s">
        <v>166</v>
      </c>
      <c r="I3" s="596" t="s">
        <v>168</v>
      </c>
      <c r="J3" s="596" t="s">
        <v>107</v>
      </c>
      <c r="K3" s="598" t="s">
        <v>297</v>
      </c>
      <c r="L3" s="600"/>
      <c r="M3" s="600"/>
      <c r="N3" s="599"/>
      <c r="O3" s="596" t="s">
        <v>298</v>
      </c>
      <c r="P3" s="596" t="s">
        <v>299</v>
      </c>
      <c r="Q3" s="598" t="s">
        <v>171</v>
      </c>
      <c r="R3" s="600"/>
      <c r="S3" s="600"/>
      <c r="T3" s="600"/>
      <c r="U3" s="600"/>
      <c r="V3" s="600"/>
      <c r="W3" s="600"/>
      <c r="X3" s="600"/>
      <c r="Y3" s="600"/>
      <c r="Z3" s="600"/>
      <c r="AA3" s="600"/>
      <c r="AB3" s="599"/>
      <c r="AC3" s="596" t="s">
        <v>172</v>
      </c>
      <c r="AD3" s="596" t="s">
        <v>271</v>
      </c>
      <c r="AE3" s="601" t="s">
        <v>173</v>
      </c>
      <c r="AF3" s="602"/>
      <c r="AG3" s="596" t="s">
        <v>300</v>
      </c>
      <c r="AH3" s="598" t="s">
        <v>175</v>
      </c>
      <c r="AI3" s="599"/>
      <c r="AJ3" s="596" t="s">
        <v>301</v>
      </c>
      <c r="AK3" s="247"/>
    </row>
    <row r="4" spans="1:101" s="195" customFormat="1" ht="38.25" x14ac:dyDescent="0.25">
      <c r="A4" s="603"/>
      <c r="B4" s="603"/>
      <c r="C4" s="597"/>
      <c r="D4" s="603"/>
      <c r="E4" s="597"/>
      <c r="F4" s="597"/>
      <c r="G4" s="597"/>
      <c r="H4" s="597"/>
      <c r="I4" s="597"/>
      <c r="J4" s="597"/>
      <c r="K4" s="198" t="s">
        <v>248</v>
      </c>
      <c r="L4" s="198" t="s">
        <v>249</v>
      </c>
      <c r="M4" s="198" t="s">
        <v>250</v>
      </c>
      <c r="N4" s="198" t="s">
        <v>251</v>
      </c>
      <c r="O4" s="597"/>
      <c r="P4" s="597"/>
      <c r="Q4" s="198" t="s">
        <v>302</v>
      </c>
      <c r="R4" s="198" t="s">
        <v>133</v>
      </c>
      <c r="S4" s="198" t="s">
        <v>135</v>
      </c>
      <c r="T4" s="198" t="s">
        <v>136</v>
      </c>
      <c r="U4" s="198" t="s">
        <v>268</v>
      </c>
      <c r="V4" s="198" t="s">
        <v>137</v>
      </c>
      <c r="W4" s="198" t="s">
        <v>138</v>
      </c>
      <c r="X4" s="198" t="s">
        <v>139</v>
      </c>
      <c r="Y4" s="198" t="s">
        <v>140</v>
      </c>
      <c r="Z4" s="198" t="s">
        <v>303</v>
      </c>
      <c r="AA4" s="198" t="s">
        <v>272</v>
      </c>
      <c r="AB4" s="198" t="s">
        <v>304</v>
      </c>
      <c r="AC4" s="597"/>
      <c r="AD4" s="597"/>
      <c r="AE4" s="198" t="s">
        <v>43</v>
      </c>
      <c r="AF4" s="198" t="s">
        <v>130</v>
      </c>
      <c r="AG4" s="597"/>
      <c r="AH4" s="198" t="s">
        <v>43</v>
      </c>
      <c r="AI4" s="198" t="s">
        <v>130</v>
      </c>
      <c r="AJ4" s="597"/>
      <c r="AK4" s="223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</row>
    <row r="5" spans="1:101" ht="25.5" x14ac:dyDescent="0.25">
      <c r="A5" s="200">
        <v>690001</v>
      </c>
      <c r="B5" s="199" t="s">
        <v>305</v>
      </c>
      <c r="C5" s="200">
        <v>1</v>
      </c>
      <c r="D5" s="199" t="str">
        <f>IFERROR(VLOOKUP(C5,'Indicadores Financeiros'!$A$96:$H$109,2,FALSE),"")</f>
        <v>Auxiliar de Limpeza - 44 horas Semanais</v>
      </c>
      <c r="E5" s="199" t="s">
        <v>306</v>
      </c>
      <c r="F5" s="199" t="s">
        <v>233</v>
      </c>
      <c r="G5" s="201">
        <f>IF(E5="Posto",IF(A5=690032,'Indicadores Financeiros'!$J$75,'Indicadores Financeiros'!$J$74),IF(E5="Plantão - Sábado",'Indicadores Financeiros'!$J$77,'Indicadores Financeiros'!$J$76))</f>
        <v>21</v>
      </c>
      <c r="H5" s="201">
        <v>0</v>
      </c>
      <c r="I5" s="201">
        <f>IFERROR(VLOOKUP($A5,'Indicadores Financeiros'!$A$90:$J$92,10,FALSE),0)</f>
        <v>0</v>
      </c>
      <c r="J5" s="201">
        <f>IF(E5="Posto",IFERROR(VLOOKUP($C5,'Indicadores Financeiros'!$A$96:$H$109,6,FALSE),0),0)</f>
        <v>1717.2</v>
      </c>
      <c r="K5" s="202">
        <v>0</v>
      </c>
      <c r="L5" s="202">
        <v>0</v>
      </c>
      <c r="M5" s="203">
        <v>0</v>
      </c>
      <c r="N5" s="203">
        <v>0</v>
      </c>
      <c r="O5" s="203">
        <f>IF(H5&lt;&gt;0,ROUND(IFERROR(VLOOKUP($C5,'Indicadores Financeiros'!$A$96:$H$109,6,FALSE),0)/220*IF($E5="Plantão - Sábado",1.5,2),2),0)</f>
        <v>0</v>
      </c>
      <c r="P5" s="203">
        <f>IF(E5="Posto",SUM(J5:N5),O5*H5)</f>
        <v>1717.2</v>
      </c>
      <c r="Q5" s="203">
        <f>IF(E5="Posto",ROUND('Indicadores Financeiros'!$J$63*P5,2),ROUND('Indicadores Financeiros'!$J$63*O5,2)*H5)</f>
        <v>1337.98</v>
      </c>
      <c r="R5" s="203">
        <f>IF(E5="Posto",IF(OR($C5=11,$C5=12),'Indicadores Financeiros'!$J$114,'Indicadores Financeiros'!$G$114),0)</f>
        <v>35.33</v>
      </c>
      <c r="S5" s="203">
        <f>IF(E5="Posto",IF(OR($C5=11,$C5=12),'Indicadores Financeiros'!$J$115,'Indicadores Financeiros'!$G$115),0)</f>
        <v>23.29</v>
      </c>
      <c r="T5" s="203">
        <f>IF($E5="Posto",IF(OR($C5=11,$C5=12),'Indicadores Financeiros'!$J$116,'Indicadores Financeiros'!$G$116),0)</f>
        <v>15.96</v>
      </c>
      <c r="U5" s="203">
        <f>IF($E5="Posto",IF(OR($C5=11,$C5=12),'Indicadores Financeiros'!$J$117,'Indicadores Financeiros'!$G$117),0)</f>
        <v>0</v>
      </c>
      <c r="V5" s="203">
        <f>IF(E5="Posto",IF(OR($C5=11,$C5=12),'Indicadores Financeiros'!$J$118,'Indicadores Financeiros'!$G$118),0)</f>
        <v>144.68</v>
      </c>
      <c r="W5" s="203">
        <f>IF(E5="Posto",IF(OR($C5=11,$C5=12),'Indicadores Financeiros'!$J$119,'Indicadores Financeiros'!$G$119),0)</f>
        <v>1.73</v>
      </c>
      <c r="X5" s="203">
        <f>IF(E5="Posto",IF(OR($C5=11,$C5=12),'Indicadores Financeiros'!$J$120,'Indicadores Financeiros'!$G$120),0)</f>
        <v>7.6</v>
      </c>
      <c r="Y5" s="203">
        <f>IF(E5="Posto",IF(OR($C5=11,$C5=12),'Indicadores Financeiros'!$J$121,'Indicadores Financeiros'!$G$121),0)</f>
        <v>0</v>
      </c>
      <c r="Z5" s="203">
        <f>IF(OR(A5=690002,A5=690016,A5=690035,A5=690038,A5=690064),0,IF(E5&lt;&gt;"M2",ROUND(IF(OR($C5=11,$C5=12),'Indicadores Financeiros'!$J$122,'Indicadores Financeiros'!$G$122)*$G5,2),0))</f>
        <v>406.77</v>
      </c>
      <c r="AA5" s="203">
        <f>IF(E5="Posto",ROUND(IF(OR($C5=11,$C5=12),'Indicadores Financeiros'!$J$123*G5,'Indicadores Financeiros'!$G$123*G5) + IF(OR($C5=11,$C5=12),'Indicadores Financeiros'!$J$124,'Indicadores Financeiros'!$G$124),2),0)</f>
        <v>0</v>
      </c>
      <c r="AB5" s="204">
        <f t="shared" ref="AB5:AB40" si="0">ROUND(SUM(R5:AA5),2)</f>
        <v>635.36</v>
      </c>
      <c r="AC5" s="203">
        <f>IF(E5&lt;&gt;"M2",IF((J5*6%)&gt;=(VLOOKUP($B$1,'Indicadores Financeiros'!$C$145:$J$208,7,FALSE)*G5),0,ROUND((VLOOKUP($B$1,'Indicadores Financeiros'!$C$145:$J$208,7,FALSE)*G5),2)-ROUND($J5*6%,2)),0)</f>
        <v>127.55000000000001</v>
      </c>
      <c r="AD5" s="201">
        <f>IF(E5="Posto",IFERROR(VLOOKUP($C5,'Indicadores Financeiros'!$A$128:$M$141,9,FALSE),0),0)</f>
        <v>62.81</v>
      </c>
      <c r="AE5" s="205">
        <f>IF(E5="Posto",IFERROR(VLOOKUP($C5,'Indicadores Financeiros'!$A$128:$M$141,10,FALSE),0),0)</f>
        <v>0.12</v>
      </c>
      <c r="AF5" s="206">
        <f t="shared" ref="AF5:AF40" si="1">ROUND(((P5+Q5+AB5+AC5+AD5)*AE5)/(1-AE5),2)</f>
        <v>529.21</v>
      </c>
      <c r="AG5" s="207">
        <f t="shared" ref="AG5:AG40" si="2">ROUND(I5+P5+Q5+AB5+AC5+AD5+AF5,2)</f>
        <v>4410.1099999999997</v>
      </c>
      <c r="AH5" s="208">
        <f>IFERROR(VLOOKUP($B$1,'Indicadores Financeiros'!$C$145:$J$306,6,FALSE),0)</f>
        <v>0.27810000000000001</v>
      </c>
      <c r="AI5" s="209">
        <f>ROUND(AG5*AH5,2)</f>
        <v>1226.45</v>
      </c>
      <c r="AJ5" s="210">
        <f>ROUND(AG5+AI5,2)</f>
        <v>5636.56</v>
      </c>
      <c r="AK5" s="247"/>
      <c r="AL5" s="216"/>
      <c r="AM5" s="272"/>
      <c r="AN5" s="216"/>
    </row>
    <row r="6" spans="1:101" x14ac:dyDescent="0.25">
      <c r="A6" s="200">
        <v>690002</v>
      </c>
      <c r="B6" s="199" t="s">
        <v>307</v>
      </c>
      <c r="C6" s="200">
        <v>2</v>
      </c>
      <c r="D6" s="199" t="str">
        <f>IFERROR(VLOOKUP(C6,'Indicadores Financeiros'!$A$96:$H$109,2,FALSE),"")</f>
        <v>Auxiliar de Limpeza - 24 horas Semanais</v>
      </c>
      <c r="E6" s="199" t="s">
        <v>306</v>
      </c>
      <c r="F6" s="199" t="s">
        <v>233</v>
      </c>
      <c r="G6" s="201">
        <f>IF(E6="Posto",IF(A6=690032,'Indicadores Financeiros'!$J$75,'Indicadores Financeiros'!$J$74),IF(E6="Plantão - Sábado",'Indicadores Financeiros'!$J$77,'Indicadores Financeiros'!$J$76))</f>
        <v>21</v>
      </c>
      <c r="H6" s="201">
        <v>0</v>
      </c>
      <c r="I6" s="201">
        <f>IFERROR(VLOOKUP($A6,'Indicadores Financeiros'!$A$90:$J$92,10,FALSE),0)</f>
        <v>0</v>
      </c>
      <c r="J6" s="201">
        <f>IF(E6="Posto",IFERROR(VLOOKUP($C6,'Indicadores Financeiros'!$A$96:$H$109,6,FALSE),0),0)</f>
        <v>1030.32</v>
      </c>
      <c r="K6" s="202">
        <v>0</v>
      </c>
      <c r="L6" s="202">
        <v>0</v>
      </c>
      <c r="M6" s="203">
        <v>0</v>
      </c>
      <c r="N6" s="203">
        <v>0</v>
      </c>
      <c r="O6" s="203">
        <f>IF(H6&lt;&gt;0,ROUND(IFERROR(VLOOKUP($C6,'Indicadores Financeiros'!$A$96:$H$109,6,FALSE),0)/220*IF($E6="Plantão - Sábado",1.5,2),2),0)</f>
        <v>0</v>
      </c>
      <c r="P6" s="203">
        <f t="shared" ref="P6:P38" si="3">IF(E6="Posto",SUM(J6:N6),O6*H6)</f>
        <v>1030.32</v>
      </c>
      <c r="Q6" s="203">
        <f>IF(E6="Posto",ROUND('Indicadores Financeiros'!$J$63*P6,2),ROUND('Indicadores Financeiros'!$J$63*O6,2)*H6)</f>
        <v>802.79</v>
      </c>
      <c r="R6" s="203">
        <f>IF(E6="Posto",IF(OR($C6=11,$C6=12),'Indicadores Financeiros'!$J$114,'Indicadores Financeiros'!$G$114),0)</f>
        <v>35.33</v>
      </c>
      <c r="S6" s="203">
        <f>IF(E6="Posto",IF(OR($C6=11,$C6=12),'Indicadores Financeiros'!$J$115,'Indicadores Financeiros'!$G$115),0)</f>
        <v>23.29</v>
      </c>
      <c r="T6" s="203">
        <f>IF($E6="Posto",IF(OR($C6=11,$C6=12),'Indicadores Financeiros'!$J$116,'Indicadores Financeiros'!$G$116),0)</f>
        <v>15.96</v>
      </c>
      <c r="U6" s="203">
        <f>IF($E6="Posto",IF(OR($C6=11,$C6=12),'Indicadores Financeiros'!$J$117,'Indicadores Financeiros'!$G$117),0)</f>
        <v>0</v>
      </c>
      <c r="V6" s="203">
        <f>IF(E6="Posto",IF(OR($C6=11,$C6=12),'Indicadores Financeiros'!$J$118,'Indicadores Financeiros'!$G$118),0)</f>
        <v>144.68</v>
      </c>
      <c r="W6" s="203">
        <f>IF(E6="Posto",IF(OR($C6=11,$C6=12),'Indicadores Financeiros'!$J$119,'Indicadores Financeiros'!$G$119),0)</f>
        <v>1.73</v>
      </c>
      <c r="X6" s="203">
        <f>IF(E6="Posto",IF(OR($C6=11,$C6=12),'Indicadores Financeiros'!$J$120,'Indicadores Financeiros'!$G$120),0)</f>
        <v>7.6</v>
      </c>
      <c r="Y6" s="203">
        <f>IF(E6="Posto",IF(OR($C6=11,$C6=12),'Indicadores Financeiros'!$J$121,'Indicadores Financeiros'!$G$121),0)</f>
        <v>0</v>
      </c>
      <c r="Z6" s="203">
        <f>IF(OR(A6=690002,A6=690016,A6=690035,A6=690038,A6=690064),0,IF(E6&lt;&gt;"M2",ROUND(IF(OR($C6=11,$C6=12),'Indicadores Financeiros'!$J$122,'Indicadores Financeiros'!$G$122)*$G6,2),0))</f>
        <v>0</v>
      </c>
      <c r="AA6" s="203">
        <f>IF(E6="Posto",ROUND(IF(OR($C6=11,$C6=12),'Indicadores Financeiros'!$J$123*G6,'Indicadores Financeiros'!$G$123*G6) + IF(OR($C6=11,$C6=12),'Indicadores Financeiros'!$J$124,'Indicadores Financeiros'!$G$124),2),0)</f>
        <v>0</v>
      </c>
      <c r="AB6" s="204">
        <f t="shared" si="0"/>
        <v>228.59</v>
      </c>
      <c r="AC6" s="203">
        <f>IF(E6&lt;&gt;"M2",IF((J6*6%)&gt;=(VLOOKUP($B$1,'Indicadores Financeiros'!$C$145:$J$208,7,FALSE)*G6),0,ROUND((VLOOKUP($B$1,'Indicadores Financeiros'!$C$145:$J$208,7,FALSE)*G6),2)-ROUND($J6*6%,2)),0)</f>
        <v>168.76000000000002</v>
      </c>
      <c r="AD6" s="201">
        <f>IF(E6="Posto",IFERROR(VLOOKUP($C6,'Indicadores Financeiros'!$A$128:$M$141,9,FALSE),0),0)</f>
        <v>62.81</v>
      </c>
      <c r="AE6" s="205">
        <f>IF(E6="Posto",IFERROR(VLOOKUP($C6,'Indicadores Financeiros'!$A$128:$M$141,10,FALSE),0),0)</f>
        <v>0.12</v>
      </c>
      <c r="AF6" s="206">
        <f t="shared" si="1"/>
        <v>312.72000000000003</v>
      </c>
      <c r="AG6" s="207">
        <f t="shared" si="2"/>
        <v>2605.9899999999998</v>
      </c>
      <c r="AH6" s="208">
        <f>IFERROR(VLOOKUP($B$1,'Indicadores Financeiros'!$C$145:$J$306,6,FALSE),0)</f>
        <v>0.27810000000000001</v>
      </c>
      <c r="AI6" s="209">
        <f t="shared" ref="AI6:AI38" si="4">ROUND(AG6*AH6,2)</f>
        <v>724.73</v>
      </c>
      <c r="AJ6" s="210">
        <f t="shared" ref="AJ6:AJ38" si="5">ROUND(AG6+AI6,2)</f>
        <v>3330.72</v>
      </c>
      <c r="AK6" s="247"/>
      <c r="AL6" s="216"/>
      <c r="AN6" s="216"/>
      <c r="AO6" s="216"/>
    </row>
    <row r="7" spans="1:101" x14ac:dyDescent="0.25">
      <c r="A7" s="200">
        <v>690003</v>
      </c>
      <c r="B7" s="199" t="s">
        <v>308</v>
      </c>
      <c r="C7" s="200">
        <v>1</v>
      </c>
      <c r="D7" s="199" t="str">
        <f>IFERROR(VLOOKUP(C7,'Indicadores Financeiros'!$A$96:$H$109,2,FALSE),"")</f>
        <v>Auxiliar de Limpeza - 44 horas Semanais</v>
      </c>
      <c r="E7" s="199" t="s">
        <v>306</v>
      </c>
      <c r="F7" s="199" t="s">
        <v>233</v>
      </c>
      <c r="G7" s="201">
        <f>IF(E7="Posto",IF(A7=690032,'Indicadores Financeiros'!$J$75,'Indicadores Financeiros'!$J$74),IF(E7="Plantão - Sábado",'Indicadores Financeiros'!$J$77,'Indicadores Financeiros'!$J$76))</f>
        <v>21</v>
      </c>
      <c r="H7" s="201">
        <v>0</v>
      </c>
      <c r="I7" s="201">
        <f>IFERROR(VLOOKUP($A7,'Indicadores Financeiros'!$A$90:$J$92,10,FALSE),0)</f>
        <v>0</v>
      </c>
      <c r="J7" s="201">
        <f>IF(E7="Posto",IFERROR(VLOOKUP($C7,'Indicadores Financeiros'!$A$96:$H$109,6,FALSE),0),0)</f>
        <v>1717.2</v>
      </c>
      <c r="K7" s="202">
        <v>0</v>
      </c>
      <c r="L7" s="211">
        <f>IFERROR(VLOOKUP($C7,'Indicadores Financeiros'!$A$96:$H$109,8,FALSE),0)</f>
        <v>365.29999999999995</v>
      </c>
      <c r="M7" s="203">
        <v>0</v>
      </c>
      <c r="N7" s="203">
        <v>0</v>
      </c>
      <c r="O7" s="203">
        <f>IF(H7&lt;&gt;0,ROUND(IFERROR(VLOOKUP($C7,'Indicadores Financeiros'!$A$96:$H$109,6,FALSE),0)/220*IF($E7="Plantão - Sábado",1.5,2),2),0)</f>
        <v>0</v>
      </c>
      <c r="P7" s="203">
        <f t="shared" si="3"/>
        <v>2082.5</v>
      </c>
      <c r="Q7" s="203">
        <f>IF(E7="Posto",ROUND('Indicadores Financeiros'!$J$63*P7,2),ROUND('Indicadores Financeiros'!$J$63*O7,2)*H7)</f>
        <v>1622.61</v>
      </c>
      <c r="R7" s="203">
        <f>IF(E7="Posto",IF(OR($C7=11,$C7=12),'Indicadores Financeiros'!$J$114,'Indicadores Financeiros'!$G$114),0)</f>
        <v>35.33</v>
      </c>
      <c r="S7" s="203">
        <f>IF(E7="Posto",IF(OR($C7=11,$C7=12),'Indicadores Financeiros'!$J$115,'Indicadores Financeiros'!$G$115),0)</f>
        <v>23.29</v>
      </c>
      <c r="T7" s="203">
        <f>IF($E7="Posto",IF(OR($C7=11,$C7=12),'Indicadores Financeiros'!$J$116,'Indicadores Financeiros'!$G$116),0)</f>
        <v>15.96</v>
      </c>
      <c r="U7" s="203">
        <f>IF($E7="Posto",IF(OR($C7=11,$C7=12),'Indicadores Financeiros'!$J$117,'Indicadores Financeiros'!$G$117),0)</f>
        <v>0</v>
      </c>
      <c r="V7" s="203">
        <f>IF(E7="Posto",IF(OR($C7=11,$C7=12),'Indicadores Financeiros'!$J$118,'Indicadores Financeiros'!$G$118),0)</f>
        <v>144.68</v>
      </c>
      <c r="W7" s="203">
        <f>IF(E7="Posto",IF(OR($C7=11,$C7=12),'Indicadores Financeiros'!$J$119,'Indicadores Financeiros'!$G$119),0)</f>
        <v>1.73</v>
      </c>
      <c r="X7" s="203">
        <f>IF(E7="Posto",IF(OR($C7=11,$C7=12),'Indicadores Financeiros'!$J$120,'Indicadores Financeiros'!$G$120),0)</f>
        <v>7.6</v>
      </c>
      <c r="Y7" s="203">
        <f>IF(E7="Posto",IF(OR($C7=11,$C7=12),'Indicadores Financeiros'!$J$121,'Indicadores Financeiros'!$G$121),0)</f>
        <v>0</v>
      </c>
      <c r="Z7" s="203">
        <f>IF(OR(A7=690002,A7=690016,A7=690035,A7=690038,A7=690064),0,IF(E7&lt;&gt;"M2",ROUND(IF(OR($C7=11,$C7=12),'Indicadores Financeiros'!$J$122,'Indicadores Financeiros'!$G$122)*$G7,2),0))</f>
        <v>406.77</v>
      </c>
      <c r="AA7" s="203">
        <f>IF(E7="Posto",ROUND(IF(OR($C7=11,$C7=12),'Indicadores Financeiros'!$J$123*G7,'Indicadores Financeiros'!$G$123*G7) + IF(OR($C7=11,$C7=12),'Indicadores Financeiros'!$J$124,'Indicadores Financeiros'!$G$124),2),0)</f>
        <v>0</v>
      </c>
      <c r="AB7" s="204">
        <f t="shared" si="0"/>
        <v>635.36</v>
      </c>
      <c r="AC7" s="203">
        <f>IF(E7&lt;&gt;"M2",IF((J7*6%)&gt;=(VLOOKUP($B$1,'Indicadores Financeiros'!$C$145:$J$208,7,FALSE)*G7),0,ROUND((VLOOKUP($B$1,'Indicadores Financeiros'!$C$145:$J$208,7,FALSE)*G7),2)-ROUND($J7*6%,2)),0)</f>
        <v>127.55000000000001</v>
      </c>
      <c r="AD7" s="201">
        <f>IF(E7="Posto",IFERROR(VLOOKUP($C7,'Indicadores Financeiros'!$A$128:$M$141,9,FALSE),0),0)</f>
        <v>62.81</v>
      </c>
      <c r="AE7" s="205">
        <f>IF(E7="Posto",IFERROR(VLOOKUP($C7,'Indicadores Financeiros'!$A$128:$M$141,10,FALSE),0),0)</f>
        <v>0.12</v>
      </c>
      <c r="AF7" s="206">
        <f t="shared" si="1"/>
        <v>617.84</v>
      </c>
      <c r="AG7" s="207">
        <f t="shared" si="2"/>
        <v>5148.67</v>
      </c>
      <c r="AH7" s="208">
        <f>IFERROR(VLOOKUP($B$1,'Indicadores Financeiros'!$C$145:$J$306,6,FALSE),0)</f>
        <v>0.27810000000000001</v>
      </c>
      <c r="AI7" s="209">
        <f t="shared" si="4"/>
        <v>1431.85</v>
      </c>
      <c r="AJ7" s="210">
        <f t="shared" si="5"/>
        <v>6580.52</v>
      </c>
      <c r="AK7" s="247"/>
      <c r="AL7" s="216"/>
      <c r="AN7" s="216"/>
    </row>
    <row r="8" spans="1:101" ht="21.6" customHeight="1" x14ac:dyDescent="0.25">
      <c r="A8" s="200">
        <v>690004</v>
      </c>
      <c r="B8" s="199" t="s">
        <v>309</v>
      </c>
      <c r="C8" s="200">
        <v>1</v>
      </c>
      <c r="D8" s="199" t="str">
        <f>IFERROR(VLOOKUP(C8,'Indicadores Financeiros'!$A$96:$H$109,2,FALSE),"Não se aplica")</f>
        <v>Auxiliar de Limpeza - 44 horas Semanais</v>
      </c>
      <c r="E8" s="199" t="s">
        <v>310</v>
      </c>
      <c r="F8" s="199" t="s">
        <v>233</v>
      </c>
      <c r="G8" s="201">
        <f>IF(E8="Posto",IF(A8=690032,'Indicadores Financeiros'!$J$75,'Indicadores Financeiros'!$J$74),IF(E8="Plantão - Sábado",'Indicadores Financeiros'!$J$77,'Indicadores Financeiros'!$J$76))</f>
        <v>6</v>
      </c>
      <c r="H8" s="201">
        <v>30</v>
      </c>
      <c r="I8" s="201">
        <f>IFERROR(VLOOKUP($A8,'Indicadores Financeiros'!$A$90:$J$92,10,FALSE),0)</f>
        <v>0</v>
      </c>
      <c r="J8" s="201">
        <f>IF(E8="Posto",IFERROR(VLOOKUP($C8,'Indicadores Financeiros'!$A$96:$H$109,6,FALSE),0),0)</f>
        <v>0</v>
      </c>
      <c r="K8" s="202">
        <v>0</v>
      </c>
      <c r="L8" s="202">
        <v>0</v>
      </c>
      <c r="M8" s="203">
        <v>0</v>
      </c>
      <c r="N8" s="203">
        <v>0</v>
      </c>
      <c r="O8" s="203">
        <f>IF(H8&lt;&gt;0,ROUND(IFERROR(VLOOKUP($C8,'Indicadores Financeiros'!$A$96:$H$109,6,FALSE),0)/220*IF($E8="Plantão - Sábado",1.5,2),2),0)</f>
        <v>15.61</v>
      </c>
      <c r="P8" s="203">
        <f t="shared" si="3"/>
        <v>468.29999999999995</v>
      </c>
      <c r="Q8" s="203">
        <f>IF(E8="Posto",ROUND('Indicadores Financeiros'!$J$63*P8,2),ROUND('Indicadores Financeiros'!$J$63*O8,2)*H8)</f>
        <v>364.8</v>
      </c>
      <c r="R8" s="203">
        <f>IF(E8="Posto",IF(OR($C8=11,$C8=12),'Indicadores Financeiros'!$J$114,'Indicadores Financeiros'!$G$114),0)</f>
        <v>0</v>
      </c>
      <c r="S8" s="203">
        <f>IF(E8="Posto",IF(OR($C8=11,$C8=12),'Indicadores Financeiros'!$J$115,'Indicadores Financeiros'!$G$115),0)</f>
        <v>0</v>
      </c>
      <c r="T8" s="203">
        <f>IF($E8="Posto",IF(OR($C8=11,$C8=12),'Indicadores Financeiros'!$J$116,'Indicadores Financeiros'!$G$116),0)</f>
        <v>0</v>
      </c>
      <c r="U8" s="203">
        <f>IF($E8="Posto",IF(OR($C8=11,$C8=12),'Indicadores Financeiros'!$J$117,'Indicadores Financeiros'!$G$117),0)</f>
        <v>0</v>
      </c>
      <c r="V8" s="203">
        <f>IF(E8="Posto",IF(OR($C8=11,$C8=12),'Indicadores Financeiros'!$J$118,'Indicadores Financeiros'!$G$118),0)</f>
        <v>0</v>
      </c>
      <c r="W8" s="203">
        <f>IF(E8="Posto",IF(OR($C8=11,$C8=12),'Indicadores Financeiros'!$J$119,'Indicadores Financeiros'!$G$119),0)</f>
        <v>0</v>
      </c>
      <c r="X8" s="203">
        <f>IF(E8="Posto",IF(OR($C8=11,$C8=12),'Indicadores Financeiros'!$J$120,'Indicadores Financeiros'!$G$120),0)</f>
        <v>0</v>
      </c>
      <c r="Y8" s="203">
        <f>IF(E8="Posto",IF(OR($C8=11,$C8=12),'Indicadores Financeiros'!$J$121,'Indicadores Financeiros'!$G$121),0)</f>
        <v>0</v>
      </c>
      <c r="Z8" s="203">
        <f>IF(OR(A8=690002,A8=690016,A8=690035,A8=690038,A8=690064),0,IF(E8&lt;&gt;"M2",ROUND(IF(OR($C8=11,$C8=12),'Indicadores Financeiros'!$J$122,'Indicadores Financeiros'!$G$122)*$G8,2),0))</f>
        <v>116.22</v>
      </c>
      <c r="AA8" s="203">
        <f>IF(E8="Posto",ROUND(IF(OR($C8=11,$C8=12),'Indicadores Financeiros'!$J$123*G8,'Indicadores Financeiros'!$G$123*G8) + IF(OR($C8=11,$C8=12),'Indicadores Financeiros'!$J$124,'Indicadores Financeiros'!$G$124),2),0)</f>
        <v>0</v>
      </c>
      <c r="AB8" s="204">
        <f t="shared" si="0"/>
        <v>116.22</v>
      </c>
      <c r="AC8" s="203">
        <f>IF(E8&lt;&gt;"M2",IF((J8*6%)&gt;=(VLOOKUP($B$1,'Indicadores Financeiros'!$C$145:$J$208,7,FALSE)*G8),0,ROUND((VLOOKUP($B$1,'Indicadores Financeiros'!$C$145:$J$208,7,FALSE)*G8),2)-ROUND($J8*6%,2)),0)</f>
        <v>65.88</v>
      </c>
      <c r="AD8" s="201">
        <f>IF(E8="Posto",IFERROR(VLOOKUP($C8,'Indicadores Financeiros'!$A$128:$M$141,9,FALSE),0),0)</f>
        <v>0</v>
      </c>
      <c r="AE8" s="205">
        <f>IF(E8="Posto",IFERROR(VLOOKUP($C8,'Indicadores Financeiros'!$A$128:$M$141,10,FALSE),0),0)</f>
        <v>0</v>
      </c>
      <c r="AF8" s="206">
        <f t="shared" si="1"/>
        <v>0</v>
      </c>
      <c r="AG8" s="207">
        <f t="shared" si="2"/>
        <v>1015.2</v>
      </c>
      <c r="AH8" s="208">
        <f>IFERROR(VLOOKUP($B$1,'Indicadores Financeiros'!$C$145:$J$306,6,FALSE),0)</f>
        <v>0.27810000000000001</v>
      </c>
      <c r="AI8" s="209">
        <f t="shared" si="4"/>
        <v>282.33</v>
      </c>
      <c r="AJ8" s="210">
        <f t="shared" si="5"/>
        <v>1297.53</v>
      </c>
      <c r="AK8" s="247"/>
      <c r="AL8" s="216"/>
      <c r="AN8" s="216"/>
    </row>
    <row r="9" spans="1:101" ht="19.149999999999999" customHeight="1" x14ac:dyDescent="0.25">
      <c r="A9" s="200">
        <v>690013</v>
      </c>
      <c r="B9" s="199" t="s">
        <v>311</v>
      </c>
      <c r="C9" s="200">
        <v>9</v>
      </c>
      <c r="D9" s="199" t="str">
        <f>IFERROR(VLOOKUP(C9,'Indicadores Financeiros'!$A$96:$H$109,2,FALSE),"")</f>
        <v>Limpador de Vidros - 44 horas Semanais</v>
      </c>
      <c r="E9" s="199" t="s">
        <v>306</v>
      </c>
      <c r="F9" s="199" t="s">
        <v>233</v>
      </c>
      <c r="G9" s="201">
        <f>IF(E9="Posto",IF(A9=690032,'Indicadores Financeiros'!$J$75,'Indicadores Financeiros'!$J$74),IF(E9="Plantão - Sábado",'Indicadores Financeiros'!$J$77,'Indicadores Financeiros'!$J$76))</f>
        <v>21</v>
      </c>
      <c r="H9" s="201">
        <v>0</v>
      </c>
      <c r="I9" s="201">
        <f>IFERROR(VLOOKUP($A9,'Indicadores Financeiros'!$A$90:$J$92,10,FALSE),0)</f>
        <v>0</v>
      </c>
      <c r="J9" s="201">
        <f>IF(E9="Posto",IFERROR(VLOOKUP($C9,'Indicadores Financeiros'!$A$96:$H$109,6,FALSE),0),0)</f>
        <v>1882.34</v>
      </c>
      <c r="K9" s="202">
        <v>0</v>
      </c>
      <c r="L9" s="202">
        <v>0</v>
      </c>
      <c r="M9" s="203">
        <v>0</v>
      </c>
      <c r="N9" s="203">
        <v>0</v>
      </c>
      <c r="O9" s="203">
        <f>IF(H9&lt;&gt;0,ROUND(IFERROR(VLOOKUP($C9,'Indicadores Financeiros'!$A$96:$H$109,6,FALSE),0)/220*IF($E9="Plantão - Sábado",1.5,2),2),0)</f>
        <v>0</v>
      </c>
      <c r="P9" s="203">
        <f t="shared" si="3"/>
        <v>1882.34</v>
      </c>
      <c r="Q9" s="203">
        <f>IF(E9="Posto",ROUND('Indicadores Financeiros'!$J$63*P9,2),ROUND('Indicadores Financeiros'!$J$63*O9,2)*H9)</f>
        <v>1466.65</v>
      </c>
      <c r="R9" s="203">
        <f>IF(E9="Posto",IF(OR($C9=11,$C9=12),'Indicadores Financeiros'!$J$114,'Indicadores Financeiros'!$G$114),0)</f>
        <v>35.33</v>
      </c>
      <c r="S9" s="203">
        <f>IF(E9="Posto",IF(OR($C9=11,$C9=12),'Indicadores Financeiros'!$J$115,'Indicadores Financeiros'!$G$115),0)</f>
        <v>23.29</v>
      </c>
      <c r="T9" s="203">
        <f>IF($E9="Posto",IF(OR($C9=11,$C9=12),'Indicadores Financeiros'!$J$116,'Indicadores Financeiros'!$G$116),0)</f>
        <v>15.96</v>
      </c>
      <c r="U9" s="203">
        <f>IF($E9="Posto",IF(OR($C9=11,$C9=12),'Indicadores Financeiros'!$J$117,'Indicadores Financeiros'!$G$117),0)</f>
        <v>0</v>
      </c>
      <c r="V9" s="203">
        <f>IF(E9="Posto",IF(OR($C9=11,$C9=12),'Indicadores Financeiros'!$J$118,'Indicadores Financeiros'!$G$118),0)</f>
        <v>144.68</v>
      </c>
      <c r="W9" s="203">
        <f>IF(E9="Posto",IF(OR($C9=11,$C9=12),'Indicadores Financeiros'!$J$119,'Indicadores Financeiros'!$G$119),0)</f>
        <v>1.73</v>
      </c>
      <c r="X9" s="203">
        <f>IF(E9="Posto",IF(OR($C9=11,$C9=12),'Indicadores Financeiros'!$J$120,'Indicadores Financeiros'!$G$120),0)</f>
        <v>7.6</v>
      </c>
      <c r="Y9" s="203">
        <f>IF(E9="Posto",IF(OR($C9=11,$C9=12),'Indicadores Financeiros'!$J$121,'Indicadores Financeiros'!$G$121),0)</f>
        <v>0</v>
      </c>
      <c r="Z9" s="203">
        <f>IF(OR(A9=690002,A9=690016,A9=690035,A9=690038,A9=690064),0,IF(E9&lt;&gt;"M2",ROUND(IF(OR($C9=11,$C9=12),'Indicadores Financeiros'!$J$122,'Indicadores Financeiros'!$G$122)*$G9,2),0))</f>
        <v>406.77</v>
      </c>
      <c r="AA9" s="203">
        <f>IF(E9="Posto",ROUND(IF(OR($C9=11,$C9=12),'Indicadores Financeiros'!$J$123*G9,'Indicadores Financeiros'!$G$123*G9) + IF(OR($C9=11,$C9=12),'Indicadores Financeiros'!$J$124,'Indicadores Financeiros'!$G$124),2),0)</f>
        <v>0</v>
      </c>
      <c r="AB9" s="204">
        <f t="shared" si="0"/>
        <v>635.36</v>
      </c>
      <c r="AC9" s="203">
        <f>IF(E9&lt;&gt;"M2",IF((J9*6%)&gt;=(VLOOKUP($B$1,'Indicadores Financeiros'!$C$145:$J$208,7,FALSE)*G9),0,ROUND((VLOOKUP($B$1,'Indicadores Financeiros'!$C$145:$J$208,7,FALSE)*G9),2)-ROUND($J9*6%,2)),0)</f>
        <v>117.64000000000001</v>
      </c>
      <c r="AD9" s="201">
        <f>IF(E9="Posto",IFERROR(VLOOKUP($C9,'Indicadores Financeiros'!$A$128:$M$141,9,FALSE),0),0)</f>
        <v>107.18</v>
      </c>
      <c r="AE9" s="205">
        <f>IF(E9="Posto",IFERROR(VLOOKUP($C9,'Indicadores Financeiros'!$A$128:$M$141,10,FALSE),0),0)</f>
        <v>0.12</v>
      </c>
      <c r="AF9" s="206">
        <f t="shared" si="1"/>
        <v>573.98</v>
      </c>
      <c r="AG9" s="207">
        <f t="shared" si="2"/>
        <v>4783.1499999999996</v>
      </c>
      <c r="AH9" s="208">
        <f>IFERROR(VLOOKUP($B$1,'Indicadores Financeiros'!$C$145:$J$306,6,FALSE),0)</f>
        <v>0.27810000000000001</v>
      </c>
      <c r="AI9" s="209">
        <f t="shared" si="4"/>
        <v>1330.19</v>
      </c>
      <c r="AJ9" s="210">
        <f t="shared" si="5"/>
        <v>6113.34</v>
      </c>
      <c r="AK9" s="247"/>
      <c r="AL9" s="216"/>
      <c r="AN9" s="216"/>
    </row>
    <row r="10" spans="1:101" ht="19.149999999999999" customHeight="1" x14ac:dyDescent="0.25">
      <c r="A10" s="200">
        <v>690014</v>
      </c>
      <c r="B10" s="199" t="s">
        <v>312</v>
      </c>
      <c r="C10" s="200">
        <v>9</v>
      </c>
      <c r="D10" s="199" t="str">
        <f>IFERROR(VLOOKUP(C10,'Indicadores Financeiros'!$A$96:$H$109,2,FALSE),"")</f>
        <v>Limpador de Vidros - 44 horas Semanais</v>
      </c>
      <c r="E10" s="199" t="s">
        <v>306</v>
      </c>
      <c r="F10" s="199" t="s">
        <v>233</v>
      </c>
      <c r="G10" s="201">
        <f>IF(E10="Posto",IF(A10=690032,'Indicadores Financeiros'!$J$75,'Indicadores Financeiros'!$J$74),IF(E10="Plantão - Sábado",'Indicadores Financeiros'!$J$77,'Indicadores Financeiros'!$J$76))</f>
        <v>21</v>
      </c>
      <c r="H10" s="201">
        <v>0</v>
      </c>
      <c r="I10" s="201">
        <f>IFERROR(VLOOKUP($A10,'Indicadores Financeiros'!$A$90:$J$92,10,FALSE),0)</f>
        <v>0</v>
      </c>
      <c r="J10" s="201">
        <f>IF(E10="Posto",IFERROR(VLOOKUP($C10,'Indicadores Financeiros'!$A$96:$H$109,6,FALSE),0),0)</f>
        <v>1882.34</v>
      </c>
      <c r="K10" s="202">
        <v>0</v>
      </c>
      <c r="L10" s="211">
        <f>IFERROR(VLOOKUP($C10,'Indicadores Financeiros'!$A$96:$H$109,8,FALSE),0)</f>
        <v>520.54999999999995</v>
      </c>
      <c r="M10" s="203">
        <v>0</v>
      </c>
      <c r="N10" s="203">
        <v>0</v>
      </c>
      <c r="O10" s="203">
        <f>IF(H10&lt;&gt;0,ROUND(IFERROR(VLOOKUP($C10,'Indicadores Financeiros'!$A$96:$H$109,6,FALSE),0)/220*IF($E10="Plantão - Sábado",1.5,2),2),0)</f>
        <v>0</v>
      </c>
      <c r="P10" s="203">
        <f t="shared" si="3"/>
        <v>2402.89</v>
      </c>
      <c r="Q10" s="203">
        <f>IF(E10="Posto",ROUND('Indicadores Financeiros'!$J$63*P10,2),ROUND('Indicadores Financeiros'!$J$63*O10,2)*H10)</f>
        <v>1872.25</v>
      </c>
      <c r="R10" s="203">
        <f>IF(E10="Posto",IF(OR($C10=11,$C10=12),'Indicadores Financeiros'!$J$114,'Indicadores Financeiros'!$G$114),0)</f>
        <v>35.33</v>
      </c>
      <c r="S10" s="203">
        <f>IF(E10="Posto",IF(OR($C10=11,$C10=12),'Indicadores Financeiros'!$J$115,'Indicadores Financeiros'!$G$115),0)</f>
        <v>23.29</v>
      </c>
      <c r="T10" s="203">
        <f>IF($E10="Posto",IF(OR($C10=11,$C10=12),'Indicadores Financeiros'!$J$116,'Indicadores Financeiros'!$G$116),0)</f>
        <v>15.96</v>
      </c>
      <c r="U10" s="203">
        <f>IF($E10="Posto",IF(OR($C10=11,$C10=12),'Indicadores Financeiros'!$J$117,'Indicadores Financeiros'!$G$117),0)</f>
        <v>0</v>
      </c>
      <c r="V10" s="203">
        <f>IF(E10="Posto",IF(OR($C10=11,$C10=12),'Indicadores Financeiros'!$J$118,'Indicadores Financeiros'!$G$118),0)</f>
        <v>144.68</v>
      </c>
      <c r="W10" s="203">
        <f>IF(E10="Posto",IF(OR($C10=11,$C10=12),'Indicadores Financeiros'!$J$119,'Indicadores Financeiros'!$G$119),0)</f>
        <v>1.73</v>
      </c>
      <c r="X10" s="203">
        <f>IF(E10="Posto",IF(OR($C10=11,$C10=12),'Indicadores Financeiros'!$J$120,'Indicadores Financeiros'!$G$120),0)</f>
        <v>7.6</v>
      </c>
      <c r="Y10" s="203">
        <f>IF(E10="Posto",IF(OR($C10=11,$C10=12),'Indicadores Financeiros'!$J$121,'Indicadores Financeiros'!$G$121),0)</f>
        <v>0</v>
      </c>
      <c r="Z10" s="203">
        <f>IF(OR(A10=690002,A10=690016,A10=690035,A10=690038,A10=690064),0,IF(E10&lt;&gt;"M2",ROUND(IF(OR($C10=11,$C10=12),'Indicadores Financeiros'!$J$122,'Indicadores Financeiros'!$G$122)*$G10,2),0))</f>
        <v>406.77</v>
      </c>
      <c r="AA10" s="203">
        <f>IF(E10="Posto",ROUND(IF(OR($C10=11,$C10=12),'Indicadores Financeiros'!$J$123*G10,'Indicadores Financeiros'!$G$123*G10) + IF(OR($C10=11,$C10=12),'Indicadores Financeiros'!$J$124,'Indicadores Financeiros'!$G$124),2),0)</f>
        <v>0</v>
      </c>
      <c r="AB10" s="204">
        <f t="shared" si="0"/>
        <v>635.36</v>
      </c>
      <c r="AC10" s="203">
        <f>IF(E10&lt;&gt;"M2",IF((J10*6%)&gt;=(VLOOKUP($B$1,'Indicadores Financeiros'!$C$145:$J$208,7,FALSE)*G10),0,ROUND((VLOOKUP($B$1,'Indicadores Financeiros'!$C$145:$J$208,7,FALSE)*G10),2)-ROUND($J10*6%,2)),0)</f>
        <v>117.64000000000001</v>
      </c>
      <c r="AD10" s="201">
        <f>IF(E10="Posto",IFERROR(VLOOKUP($C10,'Indicadores Financeiros'!$A$128:$M$141,9,FALSE),0),0)</f>
        <v>107.18</v>
      </c>
      <c r="AE10" s="205">
        <f>IF(E10="Posto",IFERROR(VLOOKUP($C10,'Indicadores Financeiros'!$A$128:$M$141,10,FALSE),0),0)</f>
        <v>0.12</v>
      </c>
      <c r="AF10" s="206">
        <f t="shared" si="1"/>
        <v>700.27</v>
      </c>
      <c r="AG10" s="207">
        <f t="shared" si="2"/>
        <v>5835.59</v>
      </c>
      <c r="AH10" s="208">
        <f>IFERROR(VLOOKUP($B$1,'Indicadores Financeiros'!$C$145:$J$306,6,FALSE),0)</f>
        <v>0.27810000000000001</v>
      </c>
      <c r="AI10" s="209">
        <f t="shared" si="4"/>
        <v>1622.88</v>
      </c>
      <c r="AJ10" s="210">
        <f t="shared" si="5"/>
        <v>7458.47</v>
      </c>
      <c r="AK10" s="247"/>
      <c r="AL10" s="216"/>
      <c r="AN10" s="216"/>
    </row>
    <row r="11" spans="1:101" ht="25.5" x14ac:dyDescent="0.25">
      <c r="A11" s="200">
        <v>690015</v>
      </c>
      <c r="B11" s="199" t="s">
        <v>313</v>
      </c>
      <c r="C11" s="200">
        <v>9</v>
      </c>
      <c r="D11" s="199" t="str">
        <f>IFERROR(VLOOKUP(C11,'Indicadores Financeiros'!$A$96:$H$109,2,FALSE),"")</f>
        <v>Limpador de Vidros - 44 horas Semanais</v>
      </c>
      <c r="E11" s="199" t="s">
        <v>306</v>
      </c>
      <c r="F11" s="199" t="s">
        <v>233</v>
      </c>
      <c r="G11" s="201">
        <f>IF(E11="Posto",IF(A11=690032,'Indicadores Financeiros'!$J$75,'Indicadores Financeiros'!$J$74),IF(E11="Plantão - Sábado",'Indicadores Financeiros'!$J$77,'Indicadores Financeiros'!$J$76))</f>
        <v>21</v>
      </c>
      <c r="H11" s="201">
        <v>0</v>
      </c>
      <c r="I11" s="201">
        <f>IFERROR(VLOOKUP($A11,'Indicadores Financeiros'!$A$90:$J$92,10,FALSE),0)</f>
        <v>0</v>
      </c>
      <c r="J11" s="201">
        <f>IF(E11="Posto",IFERROR(VLOOKUP($C11,'Indicadores Financeiros'!$A$96:$H$109,6,FALSE),0),0)</f>
        <v>1882.34</v>
      </c>
      <c r="K11" s="211">
        <f>IFERROR(VLOOKUP($C11,'Indicadores Financeiros'!$A$96:$H$109,7,FALSE),0)</f>
        <v>564.70000000000005</v>
      </c>
      <c r="L11" s="202">
        <v>0</v>
      </c>
      <c r="M11" s="203">
        <v>0</v>
      </c>
      <c r="N11" s="203">
        <v>0</v>
      </c>
      <c r="O11" s="203">
        <f>IF(H11&lt;&gt;0,ROUND(IFERROR(VLOOKUP($C11,'Indicadores Financeiros'!$A$96:$H$109,6,FALSE),0)/220*IF($E11="Plantão - Sábado",1.5,2),2),0)</f>
        <v>0</v>
      </c>
      <c r="P11" s="203">
        <f t="shared" si="3"/>
        <v>2447.04</v>
      </c>
      <c r="Q11" s="203">
        <f>IF(E11="Posto",ROUND('Indicadores Financeiros'!$J$63*P11,2),ROUND('Indicadores Financeiros'!$J$63*O11,2)*H11)</f>
        <v>1906.65</v>
      </c>
      <c r="R11" s="203">
        <f>IF(E11="Posto",IF(OR($C11=11,$C11=12),'Indicadores Financeiros'!$J$114,'Indicadores Financeiros'!$G$114),0)</f>
        <v>35.33</v>
      </c>
      <c r="S11" s="203">
        <f>IF(E11="Posto",IF(OR($C11=11,$C11=12),'Indicadores Financeiros'!$J$115,'Indicadores Financeiros'!$G$115),0)</f>
        <v>23.29</v>
      </c>
      <c r="T11" s="203">
        <f>IF($E11="Posto",IF(OR($C11=11,$C11=12),'Indicadores Financeiros'!$J$116,'Indicadores Financeiros'!$G$116),0)</f>
        <v>15.96</v>
      </c>
      <c r="U11" s="203">
        <f>IF($E11="Posto",IF(OR($C11=11,$C11=12),'Indicadores Financeiros'!$J$117,'Indicadores Financeiros'!$G$117),0)</f>
        <v>0</v>
      </c>
      <c r="V11" s="203">
        <f>IF(E11="Posto",IF(OR($C11=11,$C11=12),'Indicadores Financeiros'!$J$118,'Indicadores Financeiros'!$G$118),0)</f>
        <v>144.68</v>
      </c>
      <c r="W11" s="203">
        <f>IF(E11="Posto",IF(OR($C11=11,$C11=12),'Indicadores Financeiros'!$J$119,'Indicadores Financeiros'!$G$119),0)</f>
        <v>1.73</v>
      </c>
      <c r="X11" s="203">
        <f>IF(E11="Posto",IF(OR($C11=11,$C11=12),'Indicadores Financeiros'!$J$120,'Indicadores Financeiros'!$G$120),0)</f>
        <v>7.6</v>
      </c>
      <c r="Y11" s="203">
        <f>IF(E11="Posto",IF(OR($C11=11,$C11=12),'Indicadores Financeiros'!$J$121,'Indicadores Financeiros'!$G$121),0)</f>
        <v>0</v>
      </c>
      <c r="Z11" s="203">
        <f>IF(OR(A11=690002,A11=690016,A11=690035,A11=690038,A11=690064),0,IF(E11&lt;&gt;"M2",ROUND(IF(OR($C11=11,$C11=12),'Indicadores Financeiros'!$J$122,'Indicadores Financeiros'!$G$122)*$G11,2),0))</f>
        <v>406.77</v>
      </c>
      <c r="AA11" s="203">
        <f>IF(E11="Posto",ROUND(IF(OR($C11=11,$C11=12),'Indicadores Financeiros'!$J$123*G11,'Indicadores Financeiros'!$G$123*G11) + IF(OR($C11=11,$C11=12),'Indicadores Financeiros'!$J$124,'Indicadores Financeiros'!$G$124),2),0)</f>
        <v>0</v>
      </c>
      <c r="AB11" s="204">
        <f t="shared" si="0"/>
        <v>635.36</v>
      </c>
      <c r="AC11" s="203">
        <f>IF(E11&lt;&gt;"M2",IF((J11*6%)&gt;=(VLOOKUP($B$1,'Indicadores Financeiros'!$C$145:$J$208,7,FALSE)*G11),0,ROUND((VLOOKUP($B$1,'Indicadores Financeiros'!$C$145:$J$208,7,FALSE)*G11),2)-ROUND($J11*6%,2)),0)</f>
        <v>117.64000000000001</v>
      </c>
      <c r="AD11" s="201">
        <f>IF(E11="Posto",IFERROR(VLOOKUP($C11,'Indicadores Financeiros'!$A$128:$M$141,9,FALSE),0),0)</f>
        <v>107.18</v>
      </c>
      <c r="AE11" s="205">
        <f>IF(E11="Posto",IFERROR(VLOOKUP($C11,'Indicadores Financeiros'!$A$128:$M$141,10,FALSE),0),0)</f>
        <v>0.12</v>
      </c>
      <c r="AF11" s="206">
        <f t="shared" si="1"/>
        <v>710.98</v>
      </c>
      <c r="AG11" s="207">
        <f t="shared" si="2"/>
        <v>5924.85</v>
      </c>
      <c r="AH11" s="208">
        <f>IFERROR(VLOOKUP($B$1,'Indicadores Financeiros'!$C$145:$J$306,6,FALSE),0)</f>
        <v>0.27810000000000001</v>
      </c>
      <c r="AI11" s="209">
        <f t="shared" si="4"/>
        <v>1647.7</v>
      </c>
      <c r="AJ11" s="210">
        <f t="shared" si="5"/>
        <v>7572.55</v>
      </c>
      <c r="AK11" s="247"/>
      <c r="AL11" s="216"/>
      <c r="AN11" s="216"/>
    </row>
    <row r="12" spans="1:101" ht="25.5" x14ac:dyDescent="0.25">
      <c r="A12" s="200">
        <v>690016</v>
      </c>
      <c r="B12" s="199" t="s">
        <v>314</v>
      </c>
      <c r="C12" s="200">
        <v>10</v>
      </c>
      <c r="D12" s="199" t="str">
        <f>IFERROR(VLOOKUP(C12,'Indicadores Financeiros'!$A$96:$H$109,2,FALSE),"")</f>
        <v>Limpador de Vidros - 24 horas Semanais</v>
      </c>
      <c r="E12" s="199" t="s">
        <v>306</v>
      </c>
      <c r="F12" s="199" t="s">
        <v>233</v>
      </c>
      <c r="G12" s="201">
        <f>IF(E12="Posto",IF(A12=690032,'Indicadores Financeiros'!$J$75,'Indicadores Financeiros'!$J$74),IF(E12="Plantão - Sábado",'Indicadores Financeiros'!$J$77,'Indicadores Financeiros'!$J$76))</f>
        <v>21</v>
      </c>
      <c r="H12" s="201">
        <v>0</v>
      </c>
      <c r="I12" s="201">
        <f>IFERROR(VLOOKUP($A12,'Indicadores Financeiros'!$A$90:$J$92,10,FALSE),0)</f>
        <v>0</v>
      </c>
      <c r="J12" s="201">
        <f>IF(E12="Posto",IFERROR(VLOOKUP($C12,'Indicadores Financeiros'!$A$96:$H$109,6,FALSE),0),0)</f>
        <v>1129.4000000000001</v>
      </c>
      <c r="K12" s="211">
        <f>IFERROR(VLOOKUP($C12,'Indicadores Financeiros'!$A$96:$H$109,7,FALSE),0)</f>
        <v>338.82</v>
      </c>
      <c r="L12" s="202">
        <v>0</v>
      </c>
      <c r="M12" s="203">
        <v>0</v>
      </c>
      <c r="N12" s="203">
        <v>0</v>
      </c>
      <c r="O12" s="203">
        <f>IF(H12&lt;&gt;0,ROUND(IFERROR(VLOOKUP($C12,'Indicadores Financeiros'!$A$96:$H$109,6,FALSE),0)/220*IF($E12="Plantão - Sábado",1.5,2),2),0)</f>
        <v>0</v>
      </c>
      <c r="P12" s="203">
        <f t="shared" si="3"/>
        <v>1468.22</v>
      </c>
      <c r="Q12" s="203">
        <f>IF(E12="Posto",ROUND('Indicadores Financeiros'!$J$63*P12,2),ROUND('Indicadores Financeiros'!$J$63*O12,2)*H12)</f>
        <v>1143.99</v>
      </c>
      <c r="R12" s="203">
        <f>IF(E12="Posto",IF(OR($C12=11,$C12=12),'Indicadores Financeiros'!$J$114,'Indicadores Financeiros'!$G$114),0)</f>
        <v>35.33</v>
      </c>
      <c r="S12" s="203">
        <f>IF(E12="Posto",IF(OR($C12=11,$C12=12),'Indicadores Financeiros'!$J$115,'Indicadores Financeiros'!$G$115),0)</f>
        <v>23.29</v>
      </c>
      <c r="T12" s="203">
        <f>IF($E12="Posto",IF(OR($C12=11,$C12=12),'Indicadores Financeiros'!$J$116,'Indicadores Financeiros'!$G$116),0)</f>
        <v>15.96</v>
      </c>
      <c r="U12" s="203">
        <f>IF($E12="Posto",IF(OR($C12=11,$C12=12),'Indicadores Financeiros'!$J$117,'Indicadores Financeiros'!$G$117),0)</f>
        <v>0</v>
      </c>
      <c r="V12" s="203">
        <f>IF(E12="Posto",IF(OR($C12=11,$C12=12),'Indicadores Financeiros'!$J$118,'Indicadores Financeiros'!$G$118),0)</f>
        <v>144.68</v>
      </c>
      <c r="W12" s="203">
        <f>IF(E12="Posto",IF(OR($C12=11,$C12=12),'Indicadores Financeiros'!$J$119,'Indicadores Financeiros'!$G$119),0)</f>
        <v>1.73</v>
      </c>
      <c r="X12" s="203">
        <f>IF(E12="Posto",IF(OR($C12=11,$C12=12),'Indicadores Financeiros'!$J$120,'Indicadores Financeiros'!$G$120),0)</f>
        <v>7.6</v>
      </c>
      <c r="Y12" s="203">
        <f>IF(E12="Posto",IF(OR($C12=11,$C12=12),'Indicadores Financeiros'!$J$121,'Indicadores Financeiros'!$G$121),0)</f>
        <v>0</v>
      </c>
      <c r="Z12" s="203">
        <f>IF(OR(A12=690002,A12=690016,A12=690035,A12=690038,A12=690064),0,IF(E12&lt;&gt;"M2",ROUND(IF(OR($C12=11,$C12=12),'Indicadores Financeiros'!$J$122,'Indicadores Financeiros'!$G$122)*$G12,2),0))</f>
        <v>0</v>
      </c>
      <c r="AA12" s="203">
        <f>IF(E12="Posto",ROUND(IF(OR($C12=11,$C12=12),'Indicadores Financeiros'!$J$123*G12,'Indicadores Financeiros'!$G$123*G12) + IF(OR($C12=11,$C12=12),'Indicadores Financeiros'!$J$124,'Indicadores Financeiros'!$G$124),2),0)</f>
        <v>0</v>
      </c>
      <c r="AB12" s="204">
        <f t="shared" si="0"/>
        <v>228.59</v>
      </c>
      <c r="AC12" s="203">
        <f>IF(E12&lt;&gt;"M2",IF((J12*6%)&gt;=(VLOOKUP($B$1,'Indicadores Financeiros'!$C$145:$J$208,7,FALSE)*G12),0,ROUND((VLOOKUP($B$1,'Indicadores Financeiros'!$C$145:$J$208,7,FALSE)*G12),2)-ROUND($J12*6%,2)),0)</f>
        <v>162.82</v>
      </c>
      <c r="AD12" s="201">
        <f>IF(E12="Posto",IFERROR(VLOOKUP($C12,'Indicadores Financeiros'!$A$128:$M$141,9,FALSE),0),0)</f>
        <v>107.18</v>
      </c>
      <c r="AE12" s="205">
        <f>IF(E12="Posto",IFERROR(VLOOKUP($C12,'Indicadores Financeiros'!$A$128:$M$141,10,FALSE),0),0)</f>
        <v>0.12</v>
      </c>
      <c r="AF12" s="206">
        <f t="shared" si="1"/>
        <v>424.2</v>
      </c>
      <c r="AG12" s="207">
        <f t="shared" si="2"/>
        <v>3535</v>
      </c>
      <c r="AH12" s="208">
        <f>IFERROR(VLOOKUP($B$1,'Indicadores Financeiros'!$C$145:$J$306,6,FALSE),0)</f>
        <v>0.27810000000000001</v>
      </c>
      <c r="AI12" s="209">
        <f t="shared" si="4"/>
        <v>983.08</v>
      </c>
      <c r="AJ12" s="210">
        <f t="shared" si="5"/>
        <v>4518.08</v>
      </c>
      <c r="AK12" s="247"/>
      <c r="AL12" s="216"/>
      <c r="AN12" s="216"/>
    </row>
    <row r="13" spans="1:101" ht="25.5" x14ac:dyDescent="0.25">
      <c r="A13" s="200">
        <v>690017</v>
      </c>
      <c r="B13" s="199" t="s">
        <v>315</v>
      </c>
      <c r="C13" s="200">
        <v>9</v>
      </c>
      <c r="D13" s="199" t="str">
        <f>IFERROR(VLOOKUP(C13,'Indicadores Financeiros'!$A$96:$H$109,2,FALSE),"")</f>
        <v>Limpador de Vidros - 44 horas Semanais</v>
      </c>
      <c r="E13" s="199" t="s">
        <v>306</v>
      </c>
      <c r="F13" s="199" t="s">
        <v>233</v>
      </c>
      <c r="G13" s="201">
        <f>IF(E13="Posto",IF(A13=690032,'Indicadores Financeiros'!$J$75,'Indicadores Financeiros'!$J$74),IF(E13="Plantão - Sábado",'Indicadores Financeiros'!$J$77,'Indicadores Financeiros'!$J$76))</f>
        <v>21</v>
      </c>
      <c r="H13" s="201">
        <v>0</v>
      </c>
      <c r="I13" s="201">
        <f>IFERROR(VLOOKUP($A13,'Indicadores Financeiros'!$A$90:$J$92,10,FALSE),0)</f>
        <v>0</v>
      </c>
      <c r="J13" s="201">
        <f>IF(E13="Posto",IFERROR(VLOOKUP($C13,'Indicadores Financeiros'!$A$96:$H$109,6,FALSE),0),0)</f>
        <v>1882.34</v>
      </c>
      <c r="K13" s="211">
        <f>IFERROR(VLOOKUP($C13,'Indicadores Financeiros'!$A$96:$H$109,7,FALSE),0)</f>
        <v>564.70000000000005</v>
      </c>
      <c r="L13" s="211">
        <f>IFERROR(VLOOKUP($C13,'Indicadores Financeiros'!$A$96:$H$109,8,FALSE),0)</f>
        <v>520.54999999999995</v>
      </c>
      <c r="M13" s="203">
        <v>0</v>
      </c>
      <c r="N13" s="203">
        <v>0</v>
      </c>
      <c r="O13" s="203">
        <f>IF(H13&lt;&gt;0,ROUND(IFERROR(VLOOKUP($C13,'Indicadores Financeiros'!$A$96:$H$109,6,FALSE),0)/220*IF($E13="Plantão - Sábado",1.5,2),2),0)</f>
        <v>0</v>
      </c>
      <c r="P13" s="203">
        <f t="shared" si="3"/>
        <v>2967.59</v>
      </c>
      <c r="Q13" s="203">
        <f>IF(E13="Posto",ROUND('Indicadores Financeiros'!$J$63*P13,2),ROUND('Indicadores Financeiros'!$J$63*O13,2)*H13)</f>
        <v>2312.2399999999998</v>
      </c>
      <c r="R13" s="203">
        <f>IF(E13="Posto",IF(OR($C13=11,$C13=12),'Indicadores Financeiros'!$J$114,'Indicadores Financeiros'!$G$114),0)</f>
        <v>35.33</v>
      </c>
      <c r="S13" s="203">
        <f>IF(E13="Posto",IF(OR($C13=11,$C13=12),'Indicadores Financeiros'!$J$115,'Indicadores Financeiros'!$G$115),0)</f>
        <v>23.29</v>
      </c>
      <c r="T13" s="203">
        <f>IF($E13="Posto",IF(OR($C13=11,$C13=12),'Indicadores Financeiros'!$J$116,'Indicadores Financeiros'!$G$116),0)</f>
        <v>15.96</v>
      </c>
      <c r="U13" s="203">
        <f>IF($E13="Posto",IF(OR($C13=11,$C13=12),'Indicadores Financeiros'!$J$117,'Indicadores Financeiros'!$G$117),0)</f>
        <v>0</v>
      </c>
      <c r="V13" s="203">
        <f>IF(E13="Posto",IF(OR($C13=11,$C13=12),'Indicadores Financeiros'!$J$118,'Indicadores Financeiros'!$G$118),0)</f>
        <v>144.68</v>
      </c>
      <c r="W13" s="203">
        <f>IF(E13="Posto",IF(OR($C13=11,$C13=12),'Indicadores Financeiros'!$J$119,'Indicadores Financeiros'!$G$119),0)</f>
        <v>1.73</v>
      </c>
      <c r="X13" s="203">
        <f>IF(E13="Posto",IF(OR($C13=11,$C13=12),'Indicadores Financeiros'!$J$120,'Indicadores Financeiros'!$G$120),0)</f>
        <v>7.6</v>
      </c>
      <c r="Y13" s="203">
        <f>IF(E13="Posto",IF(OR($C13=11,$C13=12),'Indicadores Financeiros'!$J$121,'Indicadores Financeiros'!$G$121),0)</f>
        <v>0</v>
      </c>
      <c r="Z13" s="203">
        <f>IF(OR(A13=690002,A13=690016,A13=690035,A13=690038,A13=690064),0,IF(E13&lt;&gt;"M2",ROUND(IF(OR($C13=11,$C13=12),'Indicadores Financeiros'!$J$122,'Indicadores Financeiros'!$G$122)*$G13,2),0))</f>
        <v>406.77</v>
      </c>
      <c r="AA13" s="203">
        <f>IF(E13="Posto",ROUND(IF(OR($C13=11,$C13=12),'Indicadores Financeiros'!$J$123*G13,'Indicadores Financeiros'!$G$123*G13) + IF(OR($C13=11,$C13=12),'Indicadores Financeiros'!$J$124,'Indicadores Financeiros'!$G$124),2),0)</f>
        <v>0</v>
      </c>
      <c r="AB13" s="204">
        <f t="shared" si="0"/>
        <v>635.36</v>
      </c>
      <c r="AC13" s="203">
        <f>IF(E13&lt;&gt;"M2",IF((J13*6%)&gt;=(VLOOKUP($B$1,'Indicadores Financeiros'!$C$145:$J$208,7,FALSE)*G13),0,ROUND((VLOOKUP($B$1,'Indicadores Financeiros'!$C$145:$J$208,7,FALSE)*G13),2)-ROUND($J13*6%,2)),0)</f>
        <v>117.64000000000001</v>
      </c>
      <c r="AD13" s="201">
        <f>IF(E13="Posto",IFERROR(VLOOKUP($C13,'Indicadores Financeiros'!$A$128:$M$141,9,FALSE),0),0)</f>
        <v>107.18</v>
      </c>
      <c r="AE13" s="205">
        <f>IF(E13="Posto",IFERROR(VLOOKUP($C13,'Indicadores Financeiros'!$A$128:$M$141,10,FALSE),0),0)</f>
        <v>0.12</v>
      </c>
      <c r="AF13" s="206">
        <f t="shared" si="1"/>
        <v>837.27</v>
      </c>
      <c r="AG13" s="207">
        <f t="shared" si="2"/>
        <v>6977.28</v>
      </c>
      <c r="AH13" s="208">
        <f>IFERROR(VLOOKUP($B$1,'Indicadores Financeiros'!$C$145:$J$306,6,FALSE),0)</f>
        <v>0.27810000000000001</v>
      </c>
      <c r="AI13" s="209">
        <f t="shared" si="4"/>
        <v>1940.38</v>
      </c>
      <c r="AJ13" s="210">
        <f t="shared" si="5"/>
        <v>8917.66</v>
      </c>
      <c r="AK13" s="247"/>
      <c r="AL13" s="216"/>
      <c r="AN13" s="216"/>
    </row>
    <row r="14" spans="1:101" ht="18.600000000000001" customHeight="1" x14ac:dyDescent="0.25">
      <c r="A14" s="200">
        <v>690018</v>
      </c>
      <c r="B14" s="199" t="s">
        <v>316</v>
      </c>
      <c r="C14" s="200">
        <v>11</v>
      </c>
      <c r="D14" s="199" t="str">
        <f>IFERROR(VLOOKUP(C14,'Indicadores Financeiros'!$A$96:$H$109,2,FALSE),"")</f>
        <v>Jardineiro - 44 horas Semanais</v>
      </c>
      <c r="E14" s="199" t="s">
        <v>306</v>
      </c>
      <c r="F14" s="199" t="s">
        <v>233</v>
      </c>
      <c r="G14" s="201">
        <f>IF(E14="Posto",IF(A14=690032,'Indicadores Financeiros'!$J$75,'Indicadores Financeiros'!$J$74),IF(E14="Plantão - Sábado",'Indicadores Financeiros'!$J$77,'Indicadores Financeiros'!$J$76))</f>
        <v>21</v>
      </c>
      <c r="H14" s="201">
        <v>0</v>
      </c>
      <c r="I14" s="201">
        <f>IFERROR(VLOOKUP($A14,'Indicadores Financeiros'!$A$90:$J$92,10,FALSE),0)</f>
        <v>0</v>
      </c>
      <c r="J14" s="201">
        <f>IF(E14="Posto",IFERROR(VLOOKUP($C14,'Indicadores Financeiros'!$A$96:$H$109,6,FALSE),0),0)</f>
        <v>1732.39</v>
      </c>
      <c r="K14" s="202">
        <v>0</v>
      </c>
      <c r="L14" s="202">
        <v>0</v>
      </c>
      <c r="M14" s="211">
        <f>IFERROR(VLOOKUP($C14,'Indicadores Financeiros'!$A$96:$Z$109,9,FALSE),0)</f>
        <v>346.48</v>
      </c>
      <c r="N14" s="203">
        <v>0</v>
      </c>
      <c r="O14" s="203">
        <f>IF(H14&lt;&gt;0,ROUND(IFERROR(VLOOKUP($C14,'Indicadores Financeiros'!$A$96:$H$109,6,FALSE),0)/220*IF($E14="Plantão - Sábado",1.5,2),2),0)</f>
        <v>0</v>
      </c>
      <c r="P14" s="203">
        <f t="shared" si="3"/>
        <v>2078.87</v>
      </c>
      <c r="Q14" s="203">
        <f>IF(E14="Posto",ROUND('Indicadores Financeiros'!$J$63*P14,2),ROUND('Indicadores Financeiros'!$J$63*O14,2)*H14)</f>
        <v>1619.78</v>
      </c>
      <c r="R14" s="203">
        <f>IF(E14="Posto",IF(OR($C14=11,$C14=12),'Indicadores Financeiros'!$J$114,'Indicadores Financeiros'!$G$114),0)</f>
        <v>34.94</v>
      </c>
      <c r="S14" s="203">
        <f>IF(E14="Posto",IF(OR($C14=11,$C14=12),'Indicadores Financeiros'!$J$115,'Indicadores Financeiros'!$G$115),0)</f>
        <v>2.2000000000000002</v>
      </c>
      <c r="T14" s="203">
        <f>IF($E14="Posto",IF(OR($C14=11,$C14=12),'Indicadores Financeiros'!$J$116,'Indicadores Financeiros'!$G$116),0)</f>
        <v>9.31</v>
      </c>
      <c r="U14" s="203">
        <f>IF($E14="Posto",IF(OR($C14=11,$C14=12),'Indicadores Financeiros'!$J$117,'Indicadores Financeiros'!$G$117),0)</f>
        <v>0</v>
      </c>
      <c r="V14" s="203">
        <f>IF(E14="Posto",IF(OR($C14=11,$C14=12),'Indicadores Financeiros'!$J$118,'Indicadores Financeiros'!$G$118),0)</f>
        <v>138.6</v>
      </c>
      <c r="W14" s="203">
        <f>IF(E14="Posto",IF(OR($C14=11,$C14=12),'Indicadores Financeiros'!$J$119,'Indicadores Financeiros'!$G$119),0)</f>
        <v>2.82</v>
      </c>
      <c r="X14" s="203">
        <f>IF(E14="Posto",IF(OR($C14=11,$C14=12),'Indicadores Financeiros'!$J$120,'Indicadores Financeiros'!$G$120),0)</f>
        <v>8.76</v>
      </c>
      <c r="Y14" s="203">
        <f>IF(E14="Posto",IF(OR($C14=11,$C14=12),'Indicadores Financeiros'!$J$121,'Indicadores Financeiros'!$G$121),0)</f>
        <v>0</v>
      </c>
      <c r="Z14" s="203">
        <f>IF(OR(A14=690002,A14=690016,A14=690035,A14=690038,A14=690064),0,IF(E14&lt;&gt;"M2",ROUND(IF(OR($C14=11,$C14=12),'Indicadores Financeiros'!$J$122,'Indicadores Financeiros'!$G$122)*$G14,2),0))</f>
        <v>233.1</v>
      </c>
      <c r="AA14" s="203">
        <f>IF(E14="Posto",ROUND(IF(OR($C14=11,$C14=12),'Indicadores Financeiros'!$J$123*G14,'Indicadores Financeiros'!$G$123*G14) + IF(OR($C14=11,$C14=12),'Indicadores Financeiros'!$J$124,'Indicadores Financeiros'!$G$124),2),0)</f>
        <v>0</v>
      </c>
      <c r="AB14" s="204">
        <f t="shared" si="0"/>
        <v>429.73</v>
      </c>
      <c r="AC14" s="203">
        <f>IF(E14&lt;&gt;"M2",IF((J14*6%)&gt;=(VLOOKUP($B$1,'Indicadores Financeiros'!$C$145:$J$208,7,FALSE)*G14),0,ROUND((VLOOKUP($B$1,'Indicadores Financeiros'!$C$145:$J$208,7,FALSE)*G14),2)-ROUND($J14*6%,2)),0)</f>
        <v>126.64000000000001</v>
      </c>
      <c r="AD14" s="201">
        <f>IF(E14="Posto",IFERROR(VLOOKUP($C14,'Indicadores Financeiros'!$A$128:$M$141,9,FALSE),0),0)</f>
        <v>108.4</v>
      </c>
      <c r="AE14" s="205">
        <f>IF(E14="Posto",IFERROR(VLOOKUP($C14,'Indicadores Financeiros'!$A$128:$M$141,10,FALSE),0),0)</f>
        <v>0.12</v>
      </c>
      <c r="AF14" s="206">
        <f t="shared" si="1"/>
        <v>595.01</v>
      </c>
      <c r="AG14" s="207">
        <f t="shared" si="2"/>
        <v>4958.43</v>
      </c>
      <c r="AH14" s="208">
        <f>IFERROR(VLOOKUP($B$1,'Indicadores Financeiros'!$C$145:$J$306,6,FALSE),0)</f>
        <v>0.27810000000000001</v>
      </c>
      <c r="AI14" s="209">
        <f t="shared" si="4"/>
        <v>1378.94</v>
      </c>
      <c r="AJ14" s="210">
        <f t="shared" si="5"/>
        <v>6337.37</v>
      </c>
      <c r="AK14" s="247"/>
      <c r="AL14" s="216"/>
      <c r="AN14" s="216"/>
    </row>
    <row r="15" spans="1:101" ht="18.600000000000001" customHeight="1" x14ac:dyDescent="0.25">
      <c r="A15" s="200">
        <v>690019</v>
      </c>
      <c r="B15" s="199" t="s">
        <v>317</v>
      </c>
      <c r="C15" s="200">
        <v>12</v>
      </c>
      <c r="D15" s="199" t="str">
        <f>IFERROR(VLOOKUP(C15,'Indicadores Financeiros'!$A$96:$H$109,2,FALSE),"")</f>
        <v>Jardineiro - 24 horas Semanais</v>
      </c>
      <c r="E15" s="199" t="s">
        <v>306</v>
      </c>
      <c r="F15" s="199" t="s">
        <v>233</v>
      </c>
      <c r="G15" s="201">
        <f>IF(E15="Posto",IF(A15=690032,'Indicadores Financeiros'!$J$75,'Indicadores Financeiros'!$J$74),IF(E15="Plantão - Sábado",'Indicadores Financeiros'!$J$77,'Indicadores Financeiros'!$J$76))</f>
        <v>21</v>
      </c>
      <c r="H15" s="201">
        <v>0</v>
      </c>
      <c r="I15" s="201">
        <f>IFERROR(VLOOKUP($A15,'Indicadores Financeiros'!$A$90:$J$92,10,FALSE),0)</f>
        <v>0</v>
      </c>
      <c r="J15" s="201">
        <f>IF(E15="Posto",IFERROR(VLOOKUP($C15,'Indicadores Financeiros'!$A$96:$H$109,6,FALSE),0),0)</f>
        <v>1039.43</v>
      </c>
      <c r="K15" s="202">
        <v>0</v>
      </c>
      <c r="L15" s="202">
        <v>0</v>
      </c>
      <c r="M15" s="211">
        <f>IFERROR(VLOOKUP($C15,'Indicadores Financeiros'!$A$96:$Z$109,9,FALSE),0)</f>
        <v>346.48</v>
      </c>
      <c r="N15" s="203">
        <v>0</v>
      </c>
      <c r="O15" s="203">
        <f>IF(H15&lt;&gt;0,ROUND(IFERROR(VLOOKUP($C15,'Indicadores Financeiros'!$A$96:$H$109,6,FALSE),0)/220*IF($E15="Plantão - Sábado",1.5,2),2),0)</f>
        <v>0</v>
      </c>
      <c r="P15" s="203">
        <f t="shared" si="3"/>
        <v>1385.91</v>
      </c>
      <c r="Q15" s="203">
        <f>IF(E15="Posto",ROUND('Indicadores Financeiros'!$J$63*P15,2),ROUND('Indicadores Financeiros'!$J$63*O15,2)*H15)</f>
        <v>1079.8499999999999</v>
      </c>
      <c r="R15" s="203">
        <f>IF(E15="Posto",IF(OR($C15=11,$C15=12),'Indicadores Financeiros'!$J$114,'Indicadores Financeiros'!$G$114),0)</f>
        <v>34.94</v>
      </c>
      <c r="S15" s="203">
        <f>IF(E15="Posto",IF(OR($C15=11,$C15=12),'Indicadores Financeiros'!$J$115,'Indicadores Financeiros'!$G$115),0)</f>
        <v>2.2000000000000002</v>
      </c>
      <c r="T15" s="203">
        <f>IF($E15="Posto",IF(OR($C15=11,$C15=12),'Indicadores Financeiros'!$J$116,'Indicadores Financeiros'!$G$116),0)</f>
        <v>9.31</v>
      </c>
      <c r="U15" s="203">
        <f>IF($E15="Posto",IF(OR($C15=11,$C15=12),'Indicadores Financeiros'!$J$117,'Indicadores Financeiros'!$G$117),0)</f>
        <v>0</v>
      </c>
      <c r="V15" s="203">
        <f>IF(E15="Posto",IF(OR($C15=11,$C15=12),'Indicadores Financeiros'!$J$118,'Indicadores Financeiros'!$G$118),0)</f>
        <v>138.6</v>
      </c>
      <c r="W15" s="203">
        <f>IF(E15="Posto",IF(OR($C15=11,$C15=12),'Indicadores Financeiros'!$J$119,'Indicadores Financeiros'!$G$119),0)</f>
        <v>2.82</v>
      </c>
      <c r="X15" s="203">
        <f>IF(E15="Posto",IF(OR($C15=11,$C15=12),'Indicadores Financeiros'!$J$120,'Indicadores Financeiros'!$G$120),0)</f>
        <v>8.76</v>
      </c>
      <c r="Y15" s="203">
        <f>IF(E15="Posto",IF(OR($C15=11,$C15=12),'Indicadores Financeiros'!$J$121,'Indicadores Financeiros'!$G$121),0)</f>
        <v>0</v>
      </c>
      <c r="Z15" s="203">
        <f>IF(OR(A15=690002,A15=690016,A15=690035,A15=690038,A15=690064),0,IF(E15&lt;&gt;"M2",ROUND(IF(OR($C15=11,$C15=12),'Indicadores Financeiros'!$J$122,'Indicadores Financeiros'!$G$122)*$G15,2),0))</f>
        <v>233.1</v>
      </c>
      <c r="AA15" s="203">
        <f>IF(E15="Posto",ROUND(IF(OR($C15=11,$C15=12),'Indicadores Financeiros'!$J$123*G15,'Indicadores Financeiros'!$G$123*G15) + IF(OR($C15=11,$C15=12),'Indicadores Financeiros'!$J$124,'Indicadores Financeiros'!$G$124),2),0)</f>
        <v>0</v>
      </c>
      <c r="AB15" s="204">
        <f t="shared" si="0"/>
        <v>429.73</v>
      </c>
      <c r="AC15" s="203">
        <f>IF(E15&lt;&gt;"M2",IF((J15*6%)&gt;=(VLOOKUP($B$1,'Indicadores Financeiros'!$C$145:$J$208,7,FALSE)*G15),0,ROUND((VLOOKUP($B$1,'Indicadores Financeiros'!$C$145:$J$208,7,FALSE)*G15),2)-ROUND($J15*6%,2)),0)</f>
        <v>168.21</v>
      </c>
      <c r="AD15" s="201">
        <f>IF(E15="Posto",IFERROR(VLOOKUP($C15,'Indicadores Financeiros'!$A$128:$M$141,9,FALSE),0),0)</f>
        <v>108.4</v>
      </c>
      <c r="AE15" s="205">
        <f>IF(E15="Posto",IFERROR(VLOOKUP($C15,'Indicadores Financeiros'!$A$128:$M$141,10,FALSE),0),0)</f>
        <v>0.12</v>
      </c>
      <c r="AF15" s="206">
        <f t="shared" si="1"/>
        <v>432.56</v>
      </c>
      <c r="AG15" s="207">
        <f t="shared" si="2"/>
        <v>3604.66</v>
      </c>
      <c r="AH15" s="208">
        <f>IFERROR(VLOOKUP($B$1,'Indicadores Financeiros'!$C$145:$J$306,6,FALSE),0)</f>
        <v>0.27810000000000001</v>
      </c>
      <c r="AI15" s="209">
        <f t="shared" si="4"/>
        <v>1002.46</v>
      </c>
      <c r="AJ15" s="210">
        <f t="shared" si="5"/>
        <v>4607.12</v>
      </c>
      <c r="AK15" s="247"/>
      <c r="AL15" s="216"/>
      <c r="AN15" s="216"/>
    </row>
    <row r="16" spans="1:101" ht="18.600000000000001" customHeight="1" x14ac:dyDescent="0.25">
      <c r="A16" s="200">
        <v>690020</v>
      </c>
      <c r="B16" s="199" t="s">
        <v>318</v>
      </c>
      <c r="C16" s="200">
        <v>0</v>
      </c>
      <c r="D16" s="199" t="str">
        <f>IFERROR(VLOOKUP(C16,'Indicadores Financeiros'!$A$96:$H$109,2,FALSE),"Não se aplica")</f>
        <v>Não se aplica</v>
      </c>
      <c r="E16" s="199" t="s">
        <v>319</v>
      </c>
      <c r="F16" s="199" t="s">
        <v>233</v>
      </c>
      <c r="G16" s="201">
        <f>IF(E16="Posto",IF(A16=690032,'Indicadores Financeiros'!$J$75,'Indicadores Financeiros'!$J$74),IF(E16="Plantão - Sábado",'Indicadores Financeiros'!$J$77,IF(E16="M2",0,'Indicadores Financeiros'!$J$76)))</f>
        <v>0</v>
      </c>
      <c r="H16" s="201">
        <v>0</v>
      </c>
      <c r="I16" s="201">
        <f>IFERROR(VLOOKUP($A16,'Indicadores Financeiros'!$A$90:$J$92,10,FALSE),0)</f>
        <v>0.84</v>
      </c>
      <c r="J16" s="201">
        <f>IF(E16="Posto",IFERROR(VLOOKUP($C16,'Indicadores Financeiros'!$A$96:$H$109,6,FALSE),0),0)</f>
        <v>0</v>
      </c>
      <c r="K16" s="202">
        <v>0</v>
      </c>
      <c r="L16" s="202">
        <v>0</v>
      </c>
      <c r="M16" s="203">
        <v>0</v>
      </c>
      <c r="N16" s="203">
        <v>0</v>
      </c>
      <c r="O16" s="203">
        <f>IF(H16&lt;&gt;0,ROUND(IFERROR(VLOOKUP($C16,'Indicadores Financeiros'!$A$96:$H$109,6,FALSE),0)/220*IF($E16="Plantão - Sábado",1.5,2),2),0)</f>
        <v>0</v>
      </c>
      <c r="P16" s="203">
        <f t="shared" si="3"/>
        <v>0</v>
      </c>
      <c r="Q16" s="203">
        <f>IF(E16="Posto",ROUND('Indicadores Financeiros'!$J$63*P16,2),ROUND('Indicadores Financeiros'!$J$63*O16,2)*H16)</f>
        <v>0</v>
      </c>
      <c r="R16" s="203">
        <f>IF(E16="Posto",IF(OR($C16=11,$C16=12),'Indicadores Financeiros'!$J$114,'Indicadores Financeiros'!$G$114),0)</f>
        <v>0</v>
      </c>
      <c r="S16" s="203">
        <f>IF(E16="Posto",IF(OR($C16=11,$C16=12),'Indicadores Financeiros'!$J$115,'Indicadores Financeiros'!$G$115),0)</f>
        <v>0</v>
      </c>
      <c r="T16" s="203">
        <f>IF($E16="Posto",IF(OR($C16=11,$C16=12),'Indicadores Financeiros'!$J$116,'Indicadores Financeiros'!$G$116),0)</f>
        <v>0</v>
      </c>
      <c r="U16" s="203">
        <f>IF($E16="Posto",IF(OR($C16=11,$C16=12),'Indicadores Financeiros'!$J$117,'Indicadores Financeiros'!$G$117),0)</f>
        <v>0</v>
      </c>
      <c r="V16" s="203">
        <f>IF(E16="Posto",IF(OR($C16=11,$C16=12),'Indicadores Financeiros'!$J$118,'Indicadores Financeiros'!$G$118),0)</f>
        <v>0</v>
      </c>
      <c r="W16" s="203">
        <f>IF(E16="Posto",IF(OR($C16=11,$C16=12),'Indicadores Financeiros'!$J$119,'Indicadores Financeiros'!$G$119),0)</f>
        <v>0</v>
      </c>
      <c r="X16" s="203">
        <f>IF(E16="Posto",IF(OR($C16=11,$C16=12),'Indicadores Financeiros'!$J$120,'Indicadores Financeiros'!$G$120),0)</f>
        <v>0</v>
      </c>
      <c r="Y16" s="203">
        <f>IF(E16="Posto",IF(OR($C16=11,$C16=12),'Indicadores Financeiros'!$J$121,'Indicadores Financeiros'!$G$121),0)</f>
        <v>0</v>
      </c>
      <c r="Z16" s="203">
        <f>IF(OR(A16=690002,A16=690016,A16=690035,A16=690038,A16=690064),0,IF(E16&lt;&gt;"M2",ROUND(IF(OR($C16=11,$C16=12),'Indicadores Financeiros'!$J$122,'Indicadores Financeiros'!$G$122)*$G16,2),0))</f>
        <v>0</v>
      </c>
      <c r="AA16" s="203">
        <f>IF(E16="Posto",ROUND(IF(OR($C16=11,$C16=12),'Indicadores Financeiros'!$J$123*G16,'Indicadores Financeiros'!$G$123*G16) + IF(OR($C16=11,$C16=12),'Indicadores Financeiros'!$J$124,'Indicadores Financeiros'!$G$124),2),0)</f>
        <v>0</v>
      </c>
      <c r="AB16" s="204">
        <f t="shared" si="0"/>
        <v>0</v>
      </c>
      <c r="AC16" s="203">
        <f>IF(E16&lt;&gt;"M2",IF((J16*6%)&gt;=(VLOOKUP($B$1,'Indicadores Financeiros'!$C$145:$J$208,7,FALSE)*G16),0,ROUND((VLOOKUP($B$1,'Indicadores Financeiros'!$C$145:$J$208,7,FALSE)*G16),2)-ROUND($J16*6%,2)),0)</f>
        <v>0</v>
      </c>
      <c r="AD16" s="201">
        <f>IF(E16="Posto",IFERROR(VLOOKUP($C16,'Indicadores Financeiros'!$A$128:$M$141,9,FALSE),0),0)</f>
        <v>0</v>
      </c>
      <c r="AE16" s="205">
        <f>IF(E16="Posto",IFERROR(VLOOKUP($C16,'Indicadores Financeiros'!$A$128:$M$141,10,FALSE),0),0)</f>
        <v>0</v>
      </c>
      <c r="AF16" s="206">
        <f t="shared" si="1"/>
        <v>0</v>
      </c>
      <c r="AG16" s="207">
        <f t="shared" si="2"/>
        <v>0.84</v>
      </c>
      <c r="AH16" s="208">
        <f>IFERROR(VLOOKUP($B$1,'Indicadores Financeiros'!$C$145:$J$306,6,FALSE),0)</f>
        <v>0.27810000000000001</v>
      </c>
      <c r="AI16" s="209">
        <f t="shared" si="4"/>
        <v>0.23</v>
      </c>
      <c r="AJ16" s="210">
        <f t="shared" si="5"/>
        <v>1.07</v>
      </c>
      <c r="AK16" s="247"/>
      <c r="AL16" s="216"/>
      <c r="AN16" s="216"/>
    </row>
    <row r="17" spans="1:40" ht="21" customHeight="1" x14ac:dyDescent="0.25">
      <c r="A17" s="200">
        <v>690021</v>
      </c>
      <c r="B17" s="199" t="s">
        <v>320</v>
      </c>
      <c r="C17" s="200">
        <v>0</v>
      </c>
      <c r="D17" s="199" t="str">
        <f>IFERROR(VLOOKUP(C17,'Indicadores Financeiros'!$A$96:$H$109,2,FALSE),"Não se aplica")</f>
        <v>Não se aplica</v>
      </c>
      <c r="E17" s="199" t="s">
        <v>319</v>
      </c>
      <c r="F17" s="199" t="s">
        <v>234</v>
      </c>
      <c r="G17" s="201">
        <f>IF(E17="Posto",IF(A17=690032,'Indicadores Financeiros'!$J$75,'Indicadores Financeiros'!$J$74),IF(E17="Plantão - Sábado",'Indicadores Financeiros'!$J$77,IF(E17="M2",0,'Indicadores Financeiros'!$J$76)))</f>
        <v>0</v>
      </c>
      <c r="H17" s="201">
        <v>0</v>
      </c>
      <c r="I17" s="201">
        <f>IFERROR(VLOOKUP($A17,'Indicadores Financeiros'!$A$90:$J$92,10,FALSE),0)</f>
        <v>2.2200000000000002</v>
      </c>
      <c r="J17" s="201">
        <f>IF(E17="Posto",IFERROR(VLOOKUP($C17,'Indicadores Financeiros'!$A$96:$H$109,6,FALSE),0),0)</f>
        <v>0</v>
      </c>
      <c r="K17" s="202">
        <v>0</v>
      </c>
      <c r="L17" s="202">
        <v>0</v>
      </c>
      <c r="M17" s="203">
        <v>0</v>
      </c>
      <c r="N17" s="203">
        <v>0</v>
      </c>
      <c r="O17" s="203">
        <f>IF(H17&lt;&gt;0,ROUND(IFERROR(VLOOKUP($C17,'Indicadores Financeiros'!$A$96:$H$109,6,FALSE),0)/220*IF($E17="Plantão - Sábado",1.5,2),2),0)</f>
        <v>0</v>
      </c>
      <c r="P17" s="203">
        <f t="shared" si="3"/>
        <v>0</v>
      </c>
      <c r="Q17" s="203">
        <f>IF(E17="Posto",ROUND('Indicadores Financeiros'!$J$63*P17,2),ROUND('Indicadores Financeiros'!$J$63*O17,2)*H17)</f>
        <v>0</v>
      </c>
      <c r="R17" s="203">
        <f>IF(E17="Posto",IF(OR($C17=11,$C17=12),'Indicadores Financeiros'!$J$114,'Indicadores Financeiros'!$G$114),0)</f>
        <v>0</v>
      </c>
      <c r="S17" s="203">
        <f>IF(E17="Posto",IF(OR($C17=11,$C17=12),'Indicadores Financeiros'!$J$115,'Indicadores Financeiros'!$G$115),0)</f>
        <v>0</v>
      </c>
      <c r="T17" s="203">
        <f>IF($E17="Posto",IF(OR($C17=11,$C17=12),'Indicadores Financeiros'!$J$116,'Indicadores Financeiros'!$G$116),0)</f>
        <v>0</v>
      </c>
      <c r="U17" s="203">
        <f>IF($E17="Posto",IF(OR($C17=11,$C17=12),'Indicadores Financeiros'!$J$117,'Indicadores Financeiros'!$G$117),0)</f>
        <v>0</v>
      </c>
      <c r="V17" s="203">
        <f>IF(E17="Posto",IF(OR($C17=11,$C17=12),'Indicadores Financeiros'!$J$118,'Indicadores Financeiros'!$G$118),0)</f>
        <v>0</v>
      </c>
      <c r="W17" s="203">
        <f>IF(E17="Posto",IF(OR($C17=11,$C17=12),'Indicadores Financeiros'!$J$119,'Indicadores Financeiros'!$G$119),0)</f>
        <v>0</v>
      </c>
      <c r="X17" s="203">
        <f>IF(E17="Posto",IF(OR($C17=11,$C17=12),'Indicadores Financeiros'!$J$120,'Indicadores Financeiros'!$G$120),0)</f>
        <v>0</v>
      </c>
      <c r="Y17" s="203">
        <f>IF(E17="Posto",IF(OR($C17=11,$C17=12),'Indicadores Financeiros'!$J$121,'Indicadores Financeiros'!$G$121),0)</f>
        <v>0</v>
      </c>
      <c r="Z17" s="203">
        <f>IF(OR(A17=690002,A17=690016,A17=690035,A17=690038,A17=690064),0,IF(E17&lt;&gt;"M2",ROUND(IF(OR($C17=11,$C17=12),'Indicadores Financeiros'!$J$122,'Indicadores Financeiros'!$G$122)*$G17,2),0))</f>
        <v>0</v>
      </c>
      <c r="AA17" s="203">
        <f>IF(E17="Posto",ROUND(IF(OR($C17=11,$C17=12),'Indicadores Financeiros'!$J$123*G17,'Indicadores Financeiros'!$G$123*G17) + IF(OR($C17=11,$C17=12),'Indicadores Financeiros'!$J$124,'Indicadores Financeiros'!$G$124),2),0)</f>
        <v>0</v>
      </c>
      <c r="AB17" s="204">
        <f t="shared" si="0"/>
        <v>0</v>
      </c>
      <c r="AC17" s="203">
        <f>IF(E17&lt;&gt;"M2",IF((J17*6%)&gt;=(VLOOKUP($B$1,'Indicadores Financeiros'!$C$145:$J$208,7,FALSE)*G17),0,ROUND((VLOOKUP($B$1,'Indicadores Financeiros'!$C$145:$J$208,7,FALSE)*G17),2)-ROUND($J17*6%,2)),0)</f>
        <v>0</v>
      </c>
      <c r="AD17" s="201">
        <f>IF(E17="Posto",IFERROR(VLOOKUP($C17,'Indicadores Financeiros'!$A$128:$M$141,9,FALSE),0),0)</f>
        <v>0</v>
      </c>
      <c r="AE17" s="205">
        <f>IF(E17="Posto",IFERROR(VLOOKUP($C17,'Indicadores Financeiros'!$A$128:$M$141,10,FALSE),0),0)</f>
        <v>0</v>
      </c>
      <c r="AF17" s="206">
        <f t="shared" si="1"/>
        <v>0</v>
      </c>
      <c r="AG17" s="207">
        <f t="shared" si="2"/>
        <v>2.2200000000000002</v>
      </c>
      <c r="AH17" s="208">
        <f>IFERROR(VLOOKUP($B$1,'Indicadores Financeiros'!$C$145:$J$306,6,FALSE),0)</f>
        <v>0.27810000000000001</v>
      </c>
      <c r="AI17" s="209">
        <f t="shared" si="4"/>
        <v>0.62</v>
      </c>
      <c r="AJ17" s="210">
        <f t="shared" si="5"/>
        <v>2.84</v>
      </c>
      <c r="AK17" s="247"/>
      <c r="AL17" s="216"/>
      <c r="AN17" s="216"/>
    </row>
    <row r="18" spans="1:40" ht="18.600000000000001" customHeight="1" x14ac:dyDescent="0.25">
      <c r="A18" s="200">
        <v>690022</v>
      </c>
      <c r="B18" s="199" t="s">
        <v>321</v>
      </c>
      <c r="C18" s="200">
        <v>3</v>
      </c>
      <c r="D18" s="199" t="str">
        <f>IFERROR(VLOOKUP(C18,'Indicadores Financeiros'!$A$96:$H$109,2,FALSE),"")</f>
        <v>Auxiliar de Limpeza - 44 horas Semanais - Área Médica</v>
      </c>
      <c r="E18" s="199" t="s">
        <v>306</v>
      </c>
      <c r="F18" s="199" t="s">
        <v>233</v>
      </c>
      <c r="G18" s="201">
        <f>IF(E18="Posto",IF(A18=690032,'Indicadores Financeiros'!$J$75,'Indicadores Financeiros'!$J$74),IF(E18="Plantão - Sábado",'Indicadores Financeiros'!$J$77,'Indicadores Financeiros'!$J$76))</f>
        <v>21</v>
      </c>
      <c r="H18" s="201">
        <v>0</v>
      </c>
      <c r="I18" s="201">
        <f>IFERROR(VLOOKUP($A18,'Indicadores Financeiros'!$A$90:$J$92,10,FALSE),0)</f>
        <v>0</v>
      </c>
      <c r="J18" s="201">
        <f>IF(E18="Posto",IFERROR(VLOOKUP($C18,'Indicadores Financeiros'!$A$96:$H$109,6,FALSE),0),0)</f>
        <v>1717.2</v>
      </c>
      <c r="K18" s="202">
        <v>0</v>
      </c>
      <c r="L18" s="202">
        <v>0</v>
      </c>
      <c r="M18" s="211">
        <f>IFERROR(VLOOKUP($C18,'Indicadores Financeiros'!$A$96:$Z$109,9,FALSE),0)</f>
        <v>303.60000000000002</v>
      </c>
      <c r="N18" s="203">
        <v>0</v>
      </c>
      <c r="O18" s="203">
        <f>IF(H18&lt;&gt;0,ROUND(IFERROR(VLOOKUP($C18,'Indicadores Financeiros'!$A$96:$H$109,6,FALSE),0)/220*IF($E18="Plantão - Sábado",1.5,2),2),0)</f>
        <v>0</v>
      </c>
      <c r="P18" s="203">
        <f t="shared" si="3"/>
        <v>2020.8000000000002</v>
      </c>
      <c r="Q18" s="203">
        <f>IF(E18="Posto",ROUND('Indicadores Financeiros'!$J$63*P18,2),ROUND('Indicadores Financeiros'!$J$63*O18,2)*H18)</f>
        <v>1574.54</v>
      </c>
      <c r="R18" s="203">
        <f>IF(E18="Posto",IF(OR($C18=11,$C18=12),'Indicadores Financeiros'!$J$114,'Indicadores Financeiros'!$G$114),0)</f>
        <v>35.33</v>
      </c>
      <c r="S18" s="203">
        <f>IF(E18="Posto",IF(OR($C18=11,$C18=12),'Indicadores Financeiros'!$J$115,'Indicadores Financeiros'!$G$115),0)</f>
        <v>23.29</v>
      </c>
      <c r="T18" s="203">
        <f>IF($E18="Posto",IF(OR($C18=11,$C18=12),'Indicadores Financeiros'!$J$116,'Indicadores Financeiros'!$G$116),0)</f>
        <v>15.96</v>
      </c>
      <c r="U18" s="203">
        <f>IF($E18="Posto",IF(OR($C18=11,$C18=12),'Indicadores Financeiros'!$J$117,'Indicadores Financeiros'!$G$117),0)</f>
        <v>0</v>
      </c>
      <c r="V18" s="203">
        <f>IF(E18="Posto",IF(OR($C18=11,$C18=12),'Indicadores Financeiros'!$J$118,'Indicadores Financeiros'!$G$118),0)</f>
        <v>144.68</v>
      </c>
      <c r="W18" s="203">
        <f>IF(E18="Posto",IF(OR($C18=11,$C18=12),'Indicadores Financeiros'!$J$119,'Indicadores Financeiros'!$G$119),0)</f>
        <v>1.73</v>
      </c>
      <c r="X18" s="203">
        <f>IF(E18="Posto",IF(OR($C18=11,$C18=12),'Indicadores Financeiros'!$J$120,'Indicadores Financeiros'!$G$120),0)</f>
        <v>7.6</v>
      </c>
      <c r="Y18" s="203">
        <f>IF(E18="Posto",IF(OR($C18=11,$C18=12),'Indicadores Financeiros'!$J$121,'Indicadores Financeiros'!$G$121),0)</f>
        <v>0</v>
      </c>
      <c r="Z18" s="203">
        <f>IF(OR(A18=690002,A18=690016,A18=690035,A18=690038,A18=690064),0,IF(E18&lt;&gt;"M2",ROUND(IF(OR($C18=11,$C18=12),'Indicadores Financeiros'!$J$122,'Indicadores Financeiros'!$G$122)*$G18,2),0))</f>
        <v>406.77</v>
      </c>
      <c r="AA18" s="203">
        <f>IF(E18="Posto",ROUND(IF(OR($C18=11,$C18=12),'Indicadores Financeiros'!$J$123*G18,'Indicadores Financeiros'!$G$123*G18) + IF(OR($C18=11,$C18=12),'Indicadores Financeiros'!$J$124,'Indicadores Financeiros'!$G$124),2),0)</f>
        <v>0</v>
      </c>
      <c r="AB18" s="204">
        <f t="shared" si="0"/>
        <v>635.36</v>
      </c>
      <c r="AC18" s="203">
        <f>IF(E18&lt;&gt;"M2",IF((J18*6%)&gt;=(VLOOKUP($B$1,'Indicadores Financeiros'!$C$145:$J$208,7,FALSE)*G18),0,ROUND((VLOOKUP($B$1,'Indicadores Financeiros'!$C$145:$J$208,7,FALSE)*G18),2)-ROUND($J18*6%,2)),0)</f>
        <v>127.55000000000001</v>
      </c>
      <c r="AD18" s="201">
        <f>IF(E18="Posto",IFERROR(VLOOKUP($C18,'Indicadores Financeiros'!$A$128:$M$141,9,FALSE),0),0)</f>
        <v>71.48</v>
      </c>
      <c r="AE18" s="205">
        <f>IF(E18="Posto",IFERROR(VLOOKUP($C18,'Indicadores Financeiros'!$A$128:$M$141,10,FALSE),0),0)</f>
        <v>0.12</v>
      </c>
      <c r="AF18" s="206">
        <f t="shared" si="1"/>
        <v>604.04999999999995</v>
      </c>
      <c r="AG18" s="207">
        <f t="shared" si="2"/>
        <v>5033.78</v>
      </c>
      <c r="AH18" s="208">
        <f>IFERROR(VLOOKUP($B$1,'Indicadores Financeiros'!$C$145:$J$306,6,FALSE),0)</f>
        <v>0.27810000000000001</v>
      </c>
      <c r="AI18" s="209">
        <f t="shared" si="4"/>
        <v>1399.89</v>
      </c>
      <c r="AJ18" s="210">
        <f t="shared" si="5"/>
        <v>6433.67</v>
      </c>
      <c r="AK18" s="247"/>
      <c r="AL18" s="216"/>
      <c r="AN18" s="216"/>
    </row>
    <row r="19" spans="1:40" ht="18.600000000000001" customHeight="1" x14ac:dyDescent="0.25">
      <c r="A19" s="200">
        <v>690025</v>
      </c>
      <c r="B19" s="199" t="s">
        <v>322</v>
      </c>
      <c r="C19" s="200">
        <v>1</v>
      </c>
      <c r="D19" s="199" t="str">
        <f>IFERROR(VLOOKUP(C19,'Indicadores Financeiros'!$A$96:$H$109,2,FALSE),"Não se aplica")</f>
        <v>Auxiliar de Limpeza - 44 horas Semanais</v>
      </c>
      <c r="E19" s="199" t="s">
        <v>323</v>
      </c>
      <c r="F19" s="199" t="s">
        <v>233</v>
      </c>
      <c r="G19" s="201">
        <f>IF(E19="Posto",IF(A19=690032,'Indicadores Financeiros'!$J$75,'Indicadores Financeiros'!$J$74),IF(E19="Plantão - Sábado",'Indicadores Financeiros'!$J$77,'Indicadores Financeiros'!$J$76))</f>
        <v>5</v>
      </c>
      <c r="H19" s="201">
        <v>25</v>
      </c>
      <c r="I19" s="201">
        <f>IFERROR(VLOOKUP($A19,'Indicadores Financeiros'!$A$90:$J$92,10,FALSE),0)</f>
        <v>0</v>
      </c>
      <c r="J19" s="201">
        <f>IF(E19="Posto",IFERROR(VLOOKUP($C19,'Indicadores Financeiros'!$A$96:$H$109,6,FALSE),0),0)</f>
        <v>0</v>
      </c>
      <c r="K19" s="202">
        <v>0</v>
      </c>
      <c r="L19" s="202">
        <v>0</v>
      </c>
      <c r="M19" s="203">
        <v>0</v>
      </c>
      <c r="N19" s="203">
        <v>0</v>
      </c>
      <c r="O19" s="203">
        <f>IF(H19&lt;&gt;0,ROUND(IFERROR(VLOOKUP($C19,'Indicadores Financeiros'!$A$96:$H$109,6,FALSE),0)/220*IF($E19="Plantão - Sábado",1.5,2),2),0)</f>
        <v>11.71</v>
      </c>
      <c r="P19" s="203">
        <f t="shared" si="3"/>
        <v>292.75</v>
      </c>
      <c r="Q19" s="203">
        <f>IF(E19="Posto",ROUND('Indicadores Financeiros'!$J$63*P19,2),ROUND('Indicadores Financeiros'!$J$63*O19,2)*H19)</f>
        <v>227.99999999999997</v>
      </c>
      <c r="R19" s="203">
        <f>IF(E19="Posto",IF(OR($C19=11,$C19=12),'Indicadores Financeiros'!$J$114,'Indicadores Financeiros'!$G$114),0)</f>
        <v>0</v>
      </c>
      <c r="S19" s="203">
        <f>IF(E19="Posto",IF(OR($C19=11,$C19=12),'Indicadores Financeiros'!$J$115,'Indicadores Financeiros'!$G$115),0)</f>
        <v>0</v>
      </c>
      <c r="T19" s="203">
        <f>IF($E19="Posto",IF(OR($C19=11,$C19=12),'Indicadores Financeiros'!$J$116,'Indicadores Financeiros'!$G$116),0)</f>
        <v>0</v>
      </c>
      <c r="U19" s="203">
        <f>IF($E19="Posto",IF(OR($C19=11,$C19=12),'Indicadores Financeiros'!$J$117,'Indicadores Financeiros'!$G$117),0)</f>
        <v>0</v>
      </c>
      <c r="V19" s="203">
        <f>IF(E19="Posto",IF(OR($C19=11,$C19=12),'Indicadores Financeiros'!$J$118,'Indicadores Financeiros'!$G$118),0)</f>
        <v>0</v>
      </c>
      <c r="W19" s="203">
        <f>IF(E19="Posto",IF(OR($C19=11,$C19=12),'Indicadores Financeiros'!$J$119,'Indicadores Financeiros'!$G$119),0)</f>
        <v>0</v>
      </c>
      <c r="X19" s="203">
        <f>IF(E19="Posto",IF(OR($C19=11,$C19=12),'Indicadores Financeiros'!$J$120,'Indicadores Financeiros'!$G$120),0)</f>
        <v>0</v>
      </c>
      <c r="Y19" s="203">
        <f>IF(E19="Posto",IF(OR($C19=11,$C19=12),'Indicadores Financeiros'!$J$121,'Indicadores Financeiros'!$G$121),0)</f>
        <v>0</v>
      </c>
      <c r="Z19" s="203">
        <f>IF(OR(A19=690002,A19=690016,A19=690035,A19=690038,A19=690064),0,IF(E19&lt;&gt;"M2",ROUND(IF(OR($C19=11,$C19=12),'Indicadores Financeiros'!$J$122,'Indicadores Financeiros'!$G$122)*$G19,2),0))</f>
        <v>96.85</v>
      </c>
      <c r="AA19" s="203">
        <f>IF(E19="Posto",ROUND(IF(OR($C19=11,$C19=12),'Indicadores Financeiros'!$J$123*G19,'Indicadores Financeiros'!$G$123*G19) + IF(OR($C19=11,$C19=12),'Indicadores Financeiros'!$J$124,'Indicadores Financeiros'!$G$124),2),0)</f>
        <v>0</v>
      </c>
      <c r="AB19" s="204">
        <f t="shared" si="0"/>
        <v>96.85</v>
      </c>
      <c r="AC19" s="203">
        <f>IF(E19&lt;&gt;"M2",IF((J19*6%)&gt;=(VLOOKUP($B$1,'Indicadores Financeiros'!$C$145:$J$208,7,FALSE)*G19),0,ROUND((VLOOKUP($B$1,'Indicadores Financeiros'!$C$145:$J$208,7,FALSE)*G19),2)-ROUND($J19*6%,2)),0)</f>
        <v>54.9</v>
      </c>
      <c r="AD19" s="201">
        <f>IF(E19="Posto",IFERROR(VLOOKUP($C19,'Indicadores Financeiros'!$A$128:$M$141,9,FALSE),0),0)</f>
        <v>0</v>
      </c>
      <c r="AE19" s="205">
        <f>IF(E19="Posto",IFERROR(VLOOKUP($C19,'Indicadores Financeiros'!$A$128:$M$141,10,FALSE),0),0)</f>
        <v>0</v>
      </c>
      <c r="AF19" s="206">
        <f t="shared" si="1"/>
        <v>0</v>
      </c>
      <c r="AG19" s="207">
        <f t="shared" si="2"/>
        <v>672.5</v>
      </c>
      <c r="AH19" s="208">
        <f>IFERROR(VLOOKUP($B$1,'Indicadores Financeiros'!$C$145:$J$306,6,FALSE),0)</f>
        <v>0.27810000000000001</v>
      </c>
      <c r="AI19" s="209">
        <f t="shared" si="4"/>
        <v>187.02</v>
      </c>
      <c r="AJ19" s="210">
        <f t="shared" si="5"/>
        <v>859.52</v>
      </c>
      <c r="AK19" s="247"/>
      <c r="AL19" s="216"/>
      <c r="AN19" s="216"/>
    </row>
    <row r="20" spans="1:40" ht="18.600000000000001" customHeight="1" x14ac:dyDescent="0.25">
      <c r="A20" s="200">
        <v>690026</v>
      </c>
      <c r="B20" s="199" t="s">
        <v>324</v>
      </c>
      <c r="C20" s="200">
        <v>13</v>
      </c>
      <c r="D20" s="199" t="str">
        <f>IFERROR(VLOOKUP(C20,'Indicadores Financeiros'!$A$96:$H$109,2,FALSE),"")</f>
        <v>Copeiro - 44 horas Semanais</v>
      </c>
      <c r="E20" s="199" t="s">
        <v>306</v>
      </c>
      <c r="F20" s="199" t="s">
        <v>233</v>
      </c>
      <c r="G20" s="201">
        <f>IF(E20="Posto",IF(A20=690032,'Indicadores Financeiros'!$J$75,'Indicadores Financeiros'!$J$74),IF(E20="Plantão - Sábado",'Indicadores Financeiros'!$J$77,'Indicadores Financeiros'!$J$76))</f>
        <v>21</v>
      </c>
      <c r="H20" s="201">
        <v>0</v>
      </c>
      <c r="I20" s="201">
        <f>IFERROR(VLOOKUP($A20,'Indicadores Financeiros'!$A$90:$J$92,10,FALSE),0)</f>
        <v>0</v>
      </c>
      <c r="J20" s="201">
        <f>IF(E20="Posto",IFERROR(VLOOKUP($C20,'Indicadores Financeiros'!$A$96:$H$109,6,FALSE),0),0)</f>
        <v>1729.04</v>
      </c>
      <c r="K20" s="202">
        <v>0</v>
      </c>
      <c r="L20" s="202">
        <v>0</v>
      </c>
      <c r="M20" s="203">
        <v>0</v>
      </c>
      <c r="N20" s="203">
        <v>0</v>
      </c>
      <c r="O20" s="203">
        <f>IF(H20&lt;&gt;0,ROUND(IFERROR(VLOOKUP($C20,'Indicadores Financeiros'!$A$96:$H$109,6,FALSE),0)/220*IF($E20="Plantão - Sábado",1.5,2),2),0)</f>
        <v>0</v>
      </c>
      <c r="P20" s="203">
        <f t="shared" si="3"/>
        <v>1729.04</v>
      </c>
      <c r="Q20" s="203">
        <f>IF(E20="Posto",ROUND('Indicadores Financeiros'!$J$63*P20,2),ROUND('Indicadores Financeiros'!$J$63*O20,2)*H20)</f>
        <v>1347.21</v>
      </c>
      <c r="R20" s="203">
        <f>IF(E20="Posto",IF(OR($C20=11,$C20=12),'Indicadores Financeiros'!$J$114,'Indicadores Financeiros'!$G$114),0)</f>
        <v>35.33</v>
      </c>
      <c r="S20" s="203">
        <f>IF(E20="Posto",IF(OR($C20=11,$C20=12),'Indicadores Financeiros'!$J$115,'Indicadores Financeiros'!$G$115),0)</f>
        <v>23.29</v>
      </c>
      <c r="T20" s="203">
        <f>IF($E20="Posto",IF(OR($C20=11,$C20=12),'Indicadores Financeiros'!$J$116,'Indicadores Financeiros'!$G$116),0)</f>
        <v>15.96</v>
      </c>
      <c r="U20" s="203">
        <f>IF($E20="Posto",IF(OR($C20=11,$C20=12),'Indicadores Financeiros'!$J$117,'Indicadores Financeiros'!$G$117),0)</f>
        <v>0</v>
      </c>
      <c r="V20" s="203">
        <f>IF(E20="Posto",IF(OR($C20=11,$C20=12),'Indicadores Financeiros'!$J$118,'Indicadores Financeiros'!$G$118),0)</f>
        <v>144.68</v>
      </c>
      <c r="W20" s="203">
        <f>IF(E20="Posto",IF(OR($C20=11,$C20=12),'Indicadores Financeiros'!$J$119,'Indicadores Financeiros'!$G$119),0)</f>
        <v>1.73</v>
      </c>
      <c r="X20" s="203">
        <f>IF(E20="Posto",IF(OR($C20=11,$C20=12),'Indicadores Financeiros'!$J$120,'Indicadores Financeiros'!$G$120),0)</f>
        <v>7.6</v>
      </c>
      <c r="Y20" s="203">
        <f>IF(E20="Posto",IF(OR($C20=11,$C20=12),'Indicadores Financeiros'!$J$121,'Indicadores Financeiros'!$G$121),0)</f>
        <v>0</v>
      </c>
      <c r="Z20" s="203">
        <f>IF(OR(A20=690002,A20=690016,A20=690035,A20=690038,A20=690064),0,IF(E20&lt;&gt;"M2",ROUND(IF(OR($C20=11,$C20=12),'Indicadores Financeiros'!$J$122,'Indicadores Financeiros'!$G$122)*$G20,2),0))</f>
        <v>406.77</v>
      </c>
      <c r="AA20" s="203">
        <f>IF(E20="Posto",ROUND(IF(OR($C20=11,$C20=12),'Indicadores Financeiros'!$J$123*G20,'Indicadores Financeiros'!$G$123*G20) + IF(OR($C20=11,$C20=12),'Indicadores Financeiros'!$J$124,'Indicadores Financeiros'!$G$124),2),0)</f>
        <v>0</v>
      </c>
      <c r="AB20" s="204">
        <f t="shared" si="0"/>
        <v>635.36</v>
      </c>
      <c r="AC20" s="203">
        <f>IF(E20&lt;&gt;"M2",IF((J20*6%)&gt;=(VLOOKUP($B$1,'Indicadores Financeiros'!$C$145:$J$208,7,FALSE)*G20),0,ROUND((VLOOKUP($B$1,'Indicadores Financeiros'!$C$145:$J$208,7,FALSE)*G20),2)-ROUND($J20*6%,2)),0)</f>
        <v>126.84000000000002</v>
      </c>
      <c r="AD20" s="201">
        <f>IF(E20="Posto",IFERROR(VLOOKUP($C20,'Indicadores Financeiros'!$A$128:$M$141,9,FALSE),0),0)</f>
        <v>62.81</v>
      </c>
      <c r="AE20" s="205">
        <f>IF(E20="Posto",IFERROR(VLOOKUP($C20,'Indicadores Financeiros'!$A$128:$M$141,10,FALSE),0),0)</f>
        <v>0</v>
      </c>
      <c r="AF20" s="206">
        <f t="shared" si="1"/>
        <v>0</v>
      </c>
      <c r="AG20" s="207">
        <f t="shared" si="2"/>
        <v>3901.26</v>
      </c>
      <c r="AH20" s="208">
        <f>IFERROR(VLOOKUP($B$1,'Indicadores Financeiros'!$C$145:$J$306,6,FALSE),0)</f>
        <v>0.27810000000000001</v>
      </c>
      <c r="AI20" s="209">
        <f t="shared" si="4"/>
        <v>1084.94</v>
      </c>
      <c r="AJ20" s="210">
        <f t="shared" si="5"/>
        <v>4986.2</v>
      </c>
      <c r="AK20" s="247"/>
      <c r="AL20" s="216"/>
      <c r="AN20" s="216"/>
    </row>
    <row r="21" spans="1:40" ht="25.5" x14ac:dyDescent="0.25">
      <c r="A21" s="200">
        <v>690028</v>
      </c>
      <c r="B21" s="199" t="s">
        <v>325</v>
      </c>
      <c r="C21" s="200">
        <v>8</v>
      </c>
      <c r="D21" s="199" t="str">
        <f>IFERROR(VLOOKUP(C21,'Indicadores Financeiros'!$A$96:$H$109,2,FALSE),"")</f>
        <v>Supervisor de Limpeza - 44 horas Semanais (funções administrativas)</v>
      </c>
      <c r="E21" s="199" t="s">
        <v>306</v>
      </c>
      <c r="F21" s="199" t="s">
        <v>233</v>
      </c>
      <c r="G21" s="201">
        <f>IF(E21="Posto",IF(A21=690032,'Indicadores Financeiros'!$J$75,'Indicadores Financeiros'!$J$74),IF(E21="Plantão - Sábado",'Indicadores Financeiros'!$J$77,'Indicadores Financeiros'!$J$76))</f>
        <v>21</v>
      </c>
      <c r="H21" s="201">
        <v>0</v>
      </c>
      <c r="I21" s="201">
        <f>IFERROR(VLOOKUP($A21,'Indicadores Financeiros'!$A$90:$J$92,10,FALSE),0)</f>
        <v>0</v>
      </c>
      <c r="J21" s="201">
        <f>IF(E21="Posto",IFERROR(VLOOKUP($C21,'Indicadores Financeiros'!$A$96:$H$109,6,FALSE),0),0)</f>
        <v>2444.29</v>
      </c>
      <c r="K21" s="202">
        <v>0</v>
      </c>
      <c r="L21" s="202">
        <v>0</v>
      </c>
      <c r="M21" s="203">
        <v>0</v>
      </c>
      <c r="N21" s="203">
        <v>0</v>
      </c>
      <c r="O21" s="203">
        <f>IF(H21&lt;&gt;0,ROUND(IFERROR(VLOOKUP($C21,'Indicadores Financeiros'!$A$96:$H$109,6,FALSE),0)/220*IF($E21="Plantão - Sábado",1.5,2),2),0)</f>
        <v>0</v>
      </c>
      <c r="P21" s="203">
        <f t="shared" si="3"/>
        <v>2444.29</v>
      </c>
      <c r="Q21" s="203">
        <f>IF(E21="Posto",ROUND('Indicadores Financeiros'!$J$63*P21,2),ROUND('Indicadores Financeiros'!$J$63*O21,2)*H21)</f>
        <v>1904.51</v>
      </c>
      <c r="R21" s="203">
        <f>IF(E21="Posto",IF(OR($C21=11,$C21=12),'Indicadores Financeiros'!$J$114,'Indicadores Financeiros'!$G$114),0)</f>
        <v>35.33</v>
      </c>
      <c r="S21" s="203">
        <f>IF(E21="Posto",IF(OR($C21=11,$C21=12),'Indicadores Financeiros'!$J$115,'Indicadores Financeiros'!$G$115),0)</f>
        <v>23.29</v>
      </c>
      <c r="T21" s="203">
        <f>IF($E21="Posto",IF(OR($C21=11,$C21=12),'Indicadores Financeiros'!$J$116,'Indicadores Financeiros'!$G$116),0)</f>
        <v>15.96</v>
      </c>
      <c r="U21" s="203">
        <f>IF($E21="Posto",IF(OR($C21=11,$C21=12),'Indicadores Financeiros'!$J$117,'Indicadores Financeiros'!$G$117),0)</f>
        <v>0</v>
      </c>
      <c r="V21" s="203">
        <f>IF(E21="Posto",IF(OR($C21=11,$C21=12),'Indicadores Financeiros'!$J$118,'Indicadores Financeiros'!$G$118),0)</f>
        <v>144.68</v>
      </c>
      <c r="W21" s="203">
        <f>IF(E21="Posto",IF(OR($C21=11,$C21=12),'Indicadores Financeiros'!$J$119,'Indicadores Financeiros'!$G$119),0)</f>
        <v>1.73</v>
      </c>
      <c r="X21" s="203">
        <f>IF(E21="Posto",IF(OR($C21=11,$C21=12),'Indicadores Financeiros'!$J$120,'Indicadores Financeiros'!$G$120),0)</f>
        <v>7.6</v>
      </c>
      <c r="Y21" s="203">
        <f>IF(E21="Posto",IF(OR($C21=11,$C21=12),'Indicadores Financeiros'!$J$121,'Indicadores Financeiros'!$G$121),0)</f>
        <v>0</v>
      </c>
      <c r="Z21" s="203">
        <f>IF(OR(A21=690002,A21=690016,A21=690035,A21=690038,A21=690064),0,IF(E21&lt;&gt;"M2",ROUND(IF(OR($C21=11,$C21=12),'Indicadores Financeiros'!$J$122,'Indicadores Financeiros'!$G$122)*$G21,2),0))</f>
        <v>406.77</v>
      </c>
      <c r="AA21" s="203">
        <f>IF(E21="Posto",ROUND(IF(OR($C21=11,$C21=12),'Indicadores Financeiros'!$J$123*G21,'Indicadores Financeiros'!$G$123*G21) + IF(OR($C21=11,$C21=12),'Indicadores Financeiros'!$J$124,'Indicadores Financeiros'!$G$124),2),0)</f>
        <v>0</v>
      </c>
      <c r="AB21" s="204">
        <f t="shared" si="0"/>
        <v>635.36</v>
      </c>
      <c r="AC21" s="203">
        <f>IF(E21&lt;&gt;"M2",IF((J21*6%)&gt;=(VLOOKUP($B$1,'Indicadores Financeiros'!$C$145:$J$208,7,FALSE)*G21),0,ROUND((VLOOKUP($B$1,'Indicadores Financeiros'!$C$145:$J$208,7,FALSE)*G21),2)-ROUND($J21*6%,2)),0)</f>
        <v>83.920000000000016</v>
      </c>
      <c r="AD21" s="201">
        <f>IF(E21="Posto",IFERROR(VLOOKUP($C21,'Indicadores Financeiros'!$A$128:$M$141,9,FALSE),0),0)</f>
        <v>73.040000000000006</v>
      </c>
      <c r="AE21" s="205">
        <f>IF(E21="Posto",IFERROR(VLOOKUP($C21,'Indicadores Financeiros'!$A$128:$M$141,10,FALSE),0),0)</f>
        <v>0</v>
      </c>
      <c r="AF21" s="206">
        <f t="shared" si="1"/>
        <v>0</v>
      </c>
      <c r="AG21" s="207">
        <f t="shared" si="2"/>
        <v>5141.12</v>
      </c>
      <c r="AH21" s="208">
        <f>IFERROR(VLOOKUP($B$1,'Indicadores Financeiros'!$C$145:$J$306,6,FALSE),0)</f>
        <v>0.27810000000000001</v>
      </c>
      <c r="AI21" s="209">
        <f t="shared" si="4"/>
        <v>1429.75</v>
      </c>
      <c r="AJ21" s="210">
        <f t="shared" si="5"/>
        <v>6570.87</v>
      </c>
      <c r="AK21" s="247"/>
      <c r="AL21" s="216"/>
      <c r="AN21" s="216"/>
    </row>
    <row r="22" spans="1:40" ht="25.5" x14ac:dyDescent="0.25">
      <c r="A22" s="200">
        <v>690029</v>
      </c>
      <c r="B22" s="199" t="s">
        <v>326</v>
      </c>
      <c r="C22" s="200">
        <v>0</v>
      </c>
      <c r="D22" s="199" t="str">
        <f>IFERROR(VLOOKUP(C22,'Indicadores Financeiros'!$A$96:$H$109,2,FALSE),"Não se aplica")</f>
        <v>Não se aplica</v>
      </c>
      <c r="E22" s="199" t="s">
        <v>319</v>
      </c>
      <c r="F22" s="199" t="s">
        <v>234</v>
      </c>
      <c r="G22" s="201">
        <f>IF(E22="Posto",IF(A22=690032,'Indicadores Financeiros'!$J$75,'Indicadores Financeiros'!$J$74),IF(E22="Plantão - Sábado",'Indicadores Financeiros'!$J$77,IF(E22="M2",0,'Indicadores Financeiros'!$J$76)))</f>
        <v>0</v>
      </c>
      <c r="H22" s="201">
        <v>0</v>
      </c>
      <c r="I22" s="201">
        <f>IFERROR(VLOOKUP($A22,'Indicadores Financeiros'!$A$90:$J$92,10,FALSE),0)</f>
        <v>1.74</v>
      </c>
      <c r="J22" s="201">
        <f>IF(E22="Posto",IFERROR(VLOOKUP($C22,'Indicadores Financeiros'!$A$96:$H$109,6,FALSE),0),0)</f>
        <v>0</v>
      </c>
      <c r="K22" s="202">
        <v>0</v>
      </c>
      <c r="L22" s="202">
        <v>0</v>
      </c>
      <c r="M22" s="203">
        <v>0</v>
      </c>
      <c r="N22" s="203">
        <v>0</v>
      </c>
      <c r="O22" s="203">
        <f>IF(H22&lt;&gt;0,ROUND(IFERROR(VLOOKUP($C22,'Indicadores Financeiros'!$A$96:$H$109,6,FALSE),0)/220*IF($E22="Plantão - Sábado",1.5,2),2),0)</f>
        <v>0</v>
      </c>
      <c r="P22" s="203">
        <f t="shared" si="3"/>
        <v>0</v>
      </c>
      <c r="Q22" s="203">
        <f>IF(E22="Posto",ROUND('Indicadores Financeiros'!$J$63*P22,2),ROUND('Indicadores Financeiros'!$J$63*O22,2)*H22)</f>
        <v>0</v>
      </c>
      <c r="R22" s="203">
        <f>IF(E22="Posto",IF(OR($C22=11,$C22=12),'Indicadores Financeiros'!$J$114,'Indicadores Financeiros'!$G$114),0)</f>
        <v>0</v>
      </c>
      <c r="S22" s="203">
        <f>IF(E22="Posto",IF(OR($C22=11,$C22=12),'Indicadores Financeiros'!$J$115,'Indicadores Financeiros'!$G$115),0)</f>
        <v>0</v>
      </c>
      <c r="T22" s="203">
        <f>IF($E22="Posto",IF(OR($C22=11,$C22=12),'Indicadores Financeiros'!$J$116,'Indicadores Financeiros'!$G$116),0)</f>
        <v>0</v>
      </c>
      <c r="U22" s="203">
        <f>IF($E22="Posto",IF(OR($C22=11,$C22=12),'Indicadores Financeiros'!$J$117,'Indicadores Financeiros'!$G$117),0)</f>
        <v>0</v>
      </c>
      <c r="V22" s="203">
        <f>IF(E22="Posto",IF(OR($C22=11,$C22=12),'Indicadores Financeiros'!$J$118,'Indicadores Financeiros'!$G$118),0)</f>
        <v>0</v>
      </c>
      <c r="W22" s="203">
        <f>IF(E22="Posto",IF(OR($C22=11,$C22=12),'Indicadores Financeiros'!$J$119,'Indicadores Financeiros'!$G$119),0)</f>
        <v>0</v>
      </c>
      <c r="X22" s="203">
        <f>IF(E22="Posto",IF(OR($C22=11,$C22=12),'Indicadores Financeiros'!$J$120,'Indicadores Financeiros'!$G$120),0)</f>
        <v>0</v>
      </c>
      <c r="Y22" s="203">
        <f>IF(E22="Posto",IF(OR($C22=11,$C22=12),'Indicadores Financeiros'!$J$121,'Indicadores Financeiros'!$G$121),0)</f>
        <v>0</v>
      </c>
      <c r="Z22" s="203">
        <f>IF(OR(A22=690002,A22=690016,A22=690035,A22=690038,A22=690064),0,IF(E22&lt;&gt;"M2",ROUND(IF(OR($C22=11,$C22=12),'Indicadores Financeiros'!$J$122,'Indicadores Financeiros'!$G$122)*$G22,2),0))</f>
        <v>0</v>
      </c>
      <c r="AA22" s="203">
        <f>IF(E22="Posto",ROUND(IF(OR($C22=11,$C22=12),'Indicadores Financeiros'!$J$123*G22,'Indicadores Financeiros'!$G$123*G22) + IF(OR($C22=11,$C22=12),'Indicadores Financeiros'!$J$124,'Indicadores Financeiros'!$G$124),2),0)</f>
        <v>0</v>
      </c>
      <c r="AB22" s="204">
        <f t="shared" si="0"/>
        <v>0</v>
      </c>
      <c r="AC22" s="203">
        <f>IF(E22&lt;&gt;"M2",IF((J22*6%)&gt;=(VLOOKUP($B$1,'Indicadores Financeiros'!$C$145:$J$208,7,FALSE)*G22),0,ROUND((VLOOKUP($B$1,'Indicadores Financeiros'!$C$145:$J$208,7,FALSE)*G22),2)-ROUND($J22*6%,2)),0)</f>
        <v>0</v>
      </c>
      <c r="AD22" s="201">
        <f>IF(E22="Posto",IFERROR(VLOOKUP($C22,'Indicadores Financeiros'!$A$128:$M$141,9,FALSE),0),0)</f>
        <v>0</v>
      </c>
      <c r="AE22" s="205">
        <f>IF(E22="Posto",IFERROR(VLOOKUP($C22,'Indicadores Financeiros'!$A$128:$M$141,10,FALSE),0),0)</f>
        <v>0</v>
      </c>
      <c r="AF22" s="206">
        <f t="shared" si="1"/>
        <v>0</v>
      </c>
      <c r="AG22" s="207">
        <f t="shared" si="2"/>
        <v>1.74</v>
      </c>
      <c r="AH22" s="208">
        <f>IFERROR(VLOOKUP($B$1,'Indicadores Financeiros'!$C$145:$J$306,6,FALSE),0)</f>
        <v>0.27810000000000001</v>
      </c>
      <c r="AI22" s="209">
        <f t="shared" si="4"/>
        <v>0.48</v>
      </c>
      <c r="AJ22" s="210">
        <f t="shared" si="5"/>
        <v>2.2200000000000002</v>
      </c>
      <c r="AK22" s="247"/>
      <c r="AL22" s="216"/>
      <c r="AN22" s="216"/>
    </row>
    <row r="23" spans="1:40" ht="25.5" x14ac:dyDescent="0.25">
      <c r="A23" s="200">
        <v>690030</v>
      </c>
      <c r="B23" s="199" t="s">
        <v>327</v>
      </c>
      <c r="C23" s="200">
        <v>7</v>
      </c>
      <c r="D23" s="199" t="str">
        <f>IFERROR(VLOOKUP(C23,'Indicadores Financeiros'!$A$96:$H$109,2,FALSE),"Não se aplica")</f>
        <v>Encarregado de Limpeza (11 ou mais subordinados) - 44 horas Semanais</v>
      </c>
      <c r="E23" s="199" t="s">
        <v>323</v>
      </c>
      <c r="F23" s="199" t="s">
        <v>233</v>
      </c>
      <c r="G23" s="201">
        <f>IF(E23="Posto",IF(A23=690032,'Indicadores Financeiros'!$J$75,'Indicadores Financeiros'!$J$74),IF(E23="Plantão - Sábado",'Indicadores Financeiros'!$J$77,'Indicadores Financeiros'!$J$76))</f>
        <v>5</v>
      </c>
      <c r="H23" s="201">
        <v>25</v>
      </c>
      <c r="I23" s="201">
        <f>IFERROR(VLOOKUP($A23,'Indicadores Financeiros'!$A$90:$J$92,10,FALSE),0)</f>
        <v>0</v>
      </c>
      <c r="J23" s="201">
        <f>IF(E23="Posto",IFERROR(VLOOKUP($C23,'Indicadores Financeiros'!$A$96:$H$109,6,FALSE),0),0)</f>
        <v>0</v>
      </c>
      <c r="K23" s="202">
        <v>0</v>
      </c>
      <c r="L23" s="202">
        <v>0</v>
      </c>
      <c r="M23" s="203">
        <v>0</v>
      </c>
      <c r="N23" s="203">
        <v>0</v>
      </c>
      <c r="O23" s="203">
        <f>IF(H23&lt;&gt;0,ROUND(IFERROR(VLOOKUP($C23,'Indicadores Financeiros'!$A$96:$H$109,6,FALSE),0)/220*IF($E23="Plantão - Sábado",1.5,2),2),0)</f>
        <v>15.32</v>
      </c>
      <c r="P23" s="203">
        <f t="shared" si="3"/>
        <v>383</v>
      </c>
      <c r="Q23" s="203">
        <f>IF(E23="Posto",ROUND('Indicadores Financeiros'!$J$63*P23,2),ROUND('Indicadores Financeiros'!$J$63*O23,2)*H23)</f>
        <v>298.5</v>
      </c>
      <c r="R23" s="203">
        <f>IF(E23="Posto",IF(OR($C23=11,$C23=12),'Indicadores Financeiros'!$J$114,'Indicadores Financeiros'!$G$114),0)</f>
        <v>0</v>
      </c>
      <c r="S23" s="203">
        <f>IF(E23="Posto",IF(OR($C23=11,$C23=12),'Indicadores Financeiros'!$J$115,'Indicadores Financeiros'!$G$115),0)</f>
        <v>0</v>
      </c>
      <c r="T23" s="203">
        <f>IF($E23="Posto",IF(OR($C23=11,$C23=12),'Indicadores Financeiros'!$J$116,'Indicadores Financeiros'!$G$116),0)</f>
        <v>0</v>
      </c>
      <c r="U23" s="203">
        <f>IF($E23="Posto",IF(OR($C23=11,$C23=12),'Indicadores Financeiros'!$J$117,'Indicadores Financeiros'!$G$117),0)</f>
        <v>0</v>
      </c>
      <c r="V23" s="203">
        <f>IF(E23="Posto",IF(OR($C23=11,$C23=12),'Indicadores Financeiros'!$J$118,'Indicadores Financeiros'!$G$118),0)</f>
        <v>0</v>
      </c>
      <c r="W23" s="203">
        <f>IF(E23="Posto",IF(OR($C23=11,$C23=12),'Indicadores Financeiros'!$J$119,'Indicadores Financeiros'!$G$119),0)</f>
        <v>0</v>
      </c>
      <c r="X23" s="203">
        <f>IF(E23="Posto",IF(OR($C23=11,$C23=12),'Indicadores Financeiros'!$J$120,'Indicadores Financeiros'!$G$120),0)</f>
        <v>0</v>
      </c>
      <c r="Y23" s="203">
        <f>IF(E23="Posto",IF(OR($C23=11,$C23=12),'Indicadores Financeiros'!$J$121,'Indicadores Financeiros'!$G$121),0)</f>
        <v>0</v>
      </c>
      <c r="Z23" s="203">
        <f>IF(OR(A23=690002,A23=690016,A23=690035,A23=690038,A23=690064),0,IF(E23&lt;&gt;"M2",ROUND(IF(OR($C23=11,$C23=12),'Indicadores Financeiros'!$J$122,'Indicadores Financeiros'!$G$122)*$G23,2),0))</f>
        <v>96.85</v>
      </c>
      <c r="AA23" s="203">
        <f>IF(E23="Posto",ROUND(IF(OR($C23=11,$C23=12),'Indicadores Financeiros'!$J$123*G23,'Indicadores Financeiros'!$G$123*G23) + IF(OR($C23=11,$C23=12),'Indicadores Financeiros'!$J$124,'Indicadores Financeiros'!$G$124),2),0)</f>
        <v>0</v>
      </c>
      <c r="AB23" s="204">
        <f t="shared" si="0"/>
        <v>96.85</v>
      </c>
      <c r="AC23" s="203">
        <f>IF(E23&lt;&gt;"M2",IF((J23*6%)&gt;=(VLOOKUP($B$1,'Indicadores Financeiros'!$C$145:$J$208,7,FALSE)*G23),0,ROUND((VLOOKUP($B$1,'Indicadores Financeiros'!$C$145:$J$208,7,FALSE)*G23),2)-ROUND($J23*6%,2)),0)</f>
        <v>54.9</v>
      </c>
      <c r="AD23" s="201">
        <f>IF(E23="Posto",IFERROR(VLOOKUP($C23,'Indicadores Financeiros'!$A$128:$M$141,9,FALSE),0),0)</f>
        <v>0</v>
      </c>
      <c r="AE23" s="205">
        <f>IF(E23="Posto",IFERROR(VLOOKUP($C23,'Indicadores Financeiros'!$A$128:$M$141,10,FALSE),0),0)</f>
        <v>0</v>
      </c>
      <c r="AF23" s="206">
        <f t="shared" si="1"/>
        <v>0</v>
      </c>
      <c r="AG23" s="207">
        <f t="shared" si="2"/>
        <v>833.25</v>
      </c>
      <c r="AH23" s="208">
        <f>IFERROR(VLOOKUP($B$1,'Indicadores Financeiros'!$C$145:$J$306,6,FALSE),0)</f>
        <v>0.27810000000000001</v>
      </c>
      <c r="AI23" s="209">
        <f t="shared" si="4"/>
        <v>231.73</v>
      </c>
      <c r="AJ23" s="210">
        <f t="shared" si="5"/>
        <v>1064.98</v>
      </c>
      <c r="AK23" s="247"/>
      <c r="AL23" s="216"/>
      <c r="AN23" s="216"/>
    </row>
    <row r="24" spans="1:40" ht="25.5" x14ac:dyDescent="0.25">
      <c r="A24" s="200">
        <v>690031</v>
      </c>
      <c r="B24" s="199" t="s">
        <v>328</v>
      </c>
      <c r="C24" s="200">
        <v>7</v>
      </c>
      <c r="D24" s="199" t="str">
        <f>IFERROR(VLOOKUP(C24,'Indicadores Financeiros'!$A$96:$H$109,2,FALSE),"Não se aplica")</f>
        <v>Encarregado de Limpeza (11 ou mais subordinados) - 44 horas Semanais</v>
      </c>
      <c r="E24" s="199" t="s">
        <v>310</v>
      </c>
      <c r="F24" s="199" t="s">
        <v>233</v>
      </c>
      <c r="G24" s="201">
        <f>IF(E24="Posto",IF(A24=690032,'Indicadores Financeiros'!$J$75,'Indicadores Financeiros'!$J$74),IF(E24="Plantão - Sábado",'Indicadores Financeiros'!$J$77,'Indicadores Financeiros'!$J$76))</f>
        <v>6</v>
      </c>
      <c r="H24" s="201">
        <v>30</v>
      </c>
      <c r="I24" s="201">
        <f>IFERROR(VLOOKUP($A24,'Indicadores Financeiros'!$A$90:$J$92,10,FALSE),0)</f>
        <v>0</v>
      </c>
      <c r="J24" s="201">
        <f>IF(E24="Posto",IFERROR(VLOOKUP($C24,'Indicadores Financeiros'!$A$96:$H$109,6,FALSE),0),0)</f>
        <v>0</v>
      </c>
      <c r="K24" s="202">
        <v>0</v>
      </c>
      <c r="L24" s="202">
        <v>0</v>
      </c>
      <c r="M24" s="203">
        <v>0</v>
      </c>
      <c r="N24" s="203">
        <v>0</v>
      </c>
      <c r="O24" s="203">
        <f>IF(H24&lt;&gt;0,ROUND(IFERROR(VLOOKUP($C24,'Indicadores Financeiros'!$A$96:$H$109,6,FALSE),0)/220*IF($E24="Plantão - Sábado",1.5,2),2),0)</f>
        <v>20.43</v>
      </c>
      <c r="P24" s="203">
        <f t="shared" si="3"/>
        <v>612.9</v>
      </c>
      <c r="Q24" s="203">
        <f>IF(E24="Posto",ROUND('Indicadores Financeiros'!$J$63*P24,2),ROUND('Indicadores Financeiros'!$J$63*O24,2)*H24)</f>
        <v>477.6</v>
      </c>
      <c r="R24" s="203">
        <f>IF(E24="Posto",IF(OR($C24=11,$C24=12),'Indicadores Financeiros'!$J$114,'Indicadores Financeiros'!$G$114),0)</f>
        <v>0</v>
      </c>
      <c r="S24" s="203">
        <f>IF(E24="Posto",IF(OR($C24=11,$C24=12),'Indicadores Financeiros'!$J$115,'Indicadores Financeiros'!$G$115),0)</f>
        <v>0</v>
      </c>
      <c r="T24" s="203">
        <f>IF($E24="Posto",IF(OR($C24=11,$C24=12),'Indicadores Financeiros'!$J$116,'Indicadores Financeiros'!$G$116),0)</f>
        <v>0</v>
      </c>
      <c r="U24" s="203">
        <f>IF($E24="Posto",IF(OR($C24=11,$C24=12),'Indicadores Financeiros'!$J$117,'Indicadores Financeiros'!$G$117),0)</f>
        <v>0</v>
      </c>
      <c r="V24" s="203">
        <f>IF(E24="Posto",IF(OR($C24=11,$C24=12),'Indicadores Financeiros'!$J$118,'Indicadores Financeiros'!$G$118),0)</f>
        <v>0</v>
      </c>
      <c r="W24" s="203">
        <f>IF(E24="Posto",IF(OR($C24=11,$C24=12),'Indicadores Financeiros'!$J$119,'Indicadores Financeiros'!$G$119),0)</f>
        <v>0</v>
      </c>
      <c r="X24" s="203">
        <f>IF(E24="Posto",IF(OR($C24=11,$C24=12),'Indicadores Financeiros'!$J$120,'Indicadores Financeiros'!$G$120),0)</f>
        <v>0</v>
      </c>
      <c r="Y24" s="203">
        <f>IF(E24="Posto",IF(OR($C24=11,$C24=12),'Indicadores Financeiros'!$J$121,'Indicadores Financeiros'!$G$121),0)</f>
        <v>0</v>
      </c>
      <c r="Z24" s="203">
        <f>IF(OR(A24=690002,A24=690016,A24=690035,A24=690038,A24=690064),0,IF(E24&lt;&gt;"M2",ROUND(IF(OR($C24=11,$C24=12),'Indicadores Financeiros'!$J$122,'Indicadores Financeiros'!$G$122)*$G24,2),0))</f>
        <v>116.22</v>
      </c>
      <c r="AA24" s="203">
        <f>IF(E24="Posto",ROUND(IF(OR($C24=11,$C24=12),'Indicadores Financeiros'!$J$123*G24,'Indicadores Financeiros'!$G$123*G24) + IF(OR($C24=11,$C24=12),'Indicadores Financeiros'!$J$124,'Indicadores Financeiros'!$G$124),2),0)</f>
        <v>0</v>
      </c>
      <c r="AB24" s="204">
        <f t="shared" si="0"/>
        <v>116.22</v>
      </c>
      <c r="AC24" s="203">
        <f>IF(E24&lt;&gt;"M2",IF((J24*6%)&gt;=(VLOOKUP($B$1,'Indicadores Financeiros'!$C$145:$J$208,7,FALSE)*G24),0,ROUND((VLOOKUP($B$1,'Indicadores Financeiros'!$C$145:$J$208,7,FALSE)*G24),2)-ROUND($J24*6%,2)),0)</f>
        <v>65.88</v>
      </c>
      <c r="AD24" s="201">
        <f>IF(E24="Posto",IFERROR(VLOOKUP($C24,'Indicadores Financeiros'!$A$128:$M$141,9,FALSE),0),0)</f>
        <v>0</v>
      </c>
      <c r="AE24" s="205">
        <f>IF(E24="Posto",IFERROR(VLOOKUP($C24,'Indicadores Financeiros'!$A$128:$M$141,10,FALSE),0),0)</f>
        <v>0</v>
      </c>
      <c r="AF24" s="206">
        <f t="shared" si="1"/>
        <v>0</v>
      </c>
      <c r="AG24" s="207">
        <f t="shared" si="2"/>
        <v>1272.5999999999999</v>
      </c>
      <c r="AH24" s="208">
        <f>IFERROR(VLOOKUP($B$1,'Indicadores Financeiros'!$C$145:$J$306,6,FALSE),0)</f>
        <v>0.27810000000000001</v>
      </c>
      <c r="AI24" s="209">
        <f t="shared" si="4"/>
        <v>353.91</v>
      </c>
      <c r="AJ24" s="210">
        <f t="shared" si="5"/>
        <v>1626.51</v>
      </c>
      <c r="AK24" s="247"/>
      <c r="AL24" s="216"/>
      <c r="AN24" s="216"/>
    </row>
    <row r="25" spans="1:40" ht="25.5" x14ac:dyDescent="0.25">
      <c r="A25" s="200">
        <v>690032</v>
      </c>
      <c r="B25" s="199" t="s">
        <v>329</v>
      </c>
      <c r="C25" s="200">
        <v>1</v>
      </c>
      <c r="D25" s="199" t="str">
        <f>IFERROR(VLOOKUP(C25,'Indicadores Financeiros'!$A$96:$H$109,2,FALSE),"")</f>
        <v>Auxiliar de Limpeza - 44 horas Semanais</v>
      </c>
      <c r="E25" s="199" t="s">
        <v>306</v>
      </c>
      <c r="F25" s="199" t="s">
        <v>233</v>
      </c>
      <c r="G25" s="201">
        <f>IF(E25="Posto",IF(A25=690032,'Indicadores Financeiros'!$J$75,'Indicadores Financeiros'!$J$74),IF(E25="Plantão - Sábado",'Indicadores Financeiros'!$J$77,'Indicadores Financeiros'!$J$76))</f>
        <v>25.33</v>
      </c>
      <c r="H25" s="201">
        <v>0</v>
      </c>
      <c r="I25" s="201">
        <f>IFERROR(VLOOKUP($A25,'Indicadores Financeiros'!$A$90:$J$92,10,FALSE),0)</f>
        <v>0</v>
      </c>
      <c r="J25" s="201">
        <f>IF(E25="Posto",IFERROR(VLOOKUP($C25,'Indicadores Financeiros'!$A$96:$H$109,6,FALSE),0),0)</f>
        <v>1717.2</v>
      </c>
      <c r="K25" s="202">
        <v>0</v>
      </c>
      <c r="L25" s="202">
        <v>0</v>
      </c>
      <c r="M25" s="203">
        <v>0</v>
      </c>
      <c r="N25" s="203">
        <v>0</v>
      </c>
      <c r="O25" s="203">
        <f>IF(H25&lt;&gt;0,ROUND(IFERROR(VLOOKUP($C25,'Indicadores Financeiros'!$A$96:$H$109,6,FALSE),0)/220*IF($E25="Plantão - Sábado",1.5,2),2),0)</f>
        <v>0</v>
      </c>
      <c r="P25" s="203">
        <f t="shared" si="3"/>
        <v>1717.2</v>
      </c>
      <c r="Q25" s="203">
        <f>IF(E25="Posto",ROUND('Indicadores Financeiros'!$J$63*P25,2),ROUND('Indicadores Financeiros'!$J$63*O25,2)*H25)</f>
        <v>1337.98</v>
      </c>
      <c r="R25" s="203">
        <f>IF(E25="Posto",IF(OR($C25=11,$C25=12),'Indicadores Financeiros'!$J$114,'Indicadores Financeiros'!$G$114),0)</f>
        <v>35.33</v>
      </c>
      <c r="S25" s="203">
        <f>IF(E25="Posto",IF(OR($C25=11,$C25=12),'Indicadores Financeiros'!$J$115,'Indicadores Financeiros'!$G$115),0)</f>
        <v>23.29</v>
      </c>
      <c r="T25" s="203">
        <f>IF($E25="Posto",IF(OR($C25=11,$C25=12),'Indicadores Financeiros'!$J$116,'Indicadores Financeiros'!$G$116),0)</f>
        <v>15.96</v>
      </c>
      <c r="U25" s="203">
        <f>IF($E25="Posto",IF(OR($C25=11,$C25=12),'Indicadores Financeiros'!$J$117,'Indicadores Financeiros'!$G$117),0)</f>
        <v>0</v>
      </c>
      <c r="V25" s="203">
        <f>IF(E25="Posto",IF(OR($C25=11,$C25=12),'Indicadores Financeiros'!$J$118,'Indicadores Financeiros'!$G$118),0)</f>
        <v>144.68</v>
      </c>
      <c r="W25" s="203">
        <f>IF(E25="Posto",IF(OR($C25=11,$C25=12),'Indicadores Financeiros'!$J$119,'Indicadores Financeiros'!$G$119),0)</f>
        <v>1.73</v>
      </c>
      <c r="X25" s="203">
        <f>IF(E25="Posto",IF(OR($C25=11,$C25=12),'Indicadores Financeiros'!$J$120,'Indicadores Financeiros'!$G$120),0)</f>
        <v>7.6</v>
      </c>
      <c r="Y25" s="203">
        <f>IF(E25="Posto",IF(OR($C25=11,$C25=12),'Indicadores Financeiros'!$J$121,'Indicadores Financeiros'!$G$121),0)</f>
        <v>0</v>
      </c>
      <c r="Z25" s="203">
        <f>IF(OR(A25=690002,A25=690016,A25=690035,A25=690038,A25=690064),0,IF(E25&lt;&gt;"M2",ROUND(IF(OR($C25=11,$C25=12),'Indicadores Financeiros'!$J$122,'Indicadores Financeiros'!$G$122)*$G25,2),0))</f>
        <v>490.64</v>
      </c>
      <c r="AA25" s="203">
        <f>IF(E25="Posto",ROUND(IF(OR($C25=11,$C25=12),'Indicadores Financeiros'!$J$123*G25,'Indicadores Financeiros'!$G$123*G25) + IF(OR($C25=11,$C25=12),'Indicadores Financeiros'!$J$124,'Indicadores Financeiros'!$G$124),2),0)</f>
        <v>0</v>
      </c>
      <c r="AB25" s="204">
        <f t="shared" si="0"/>
        <v>719.23</v>
      </c>
      <c r="AC25" s="203">
        <f>IF(E25&lt;&gt;"M2",IF((J25*6%)&gt;=(VLOOKUP($B$1,'Indicadores Financeiros'!$C$145:$J$208,7,FALSE)*G25),0,ROUND((VLOOKUP($B$1,'Indicadores Financeiros'!$C$145:$J$208,7,FALSE)*G25),2)-ROUND($J25*6%,2)),0)</f>
        <v>175.09</v>
      </c>
      <c r="AD25" s="201">
        <f>IF(E25="Posto",IFERROR(VLOOKUP($C25,'Indicadores Financeiros'!$A$128:$M$141,9,FALSE),0),0)</f>
        <v>62.81</v>
      </c>
      <c r="AE25" s="205">
        <f>IF(E25="Posto",IFERROR(VLOOKUP($C25,'Indicadores Financeiros'!$A$128:$M$141,10,FALSE),0),0)</f>
        <v>0.12</v>
      </c>
      <c r="AF25" s="206">
        <f t="shared" si="1"/>
        <v>547.13</v>
      </c>
      <c r="AG25" s="207">
        <f t="shared" si="2"/>
        <v>4559.4399999999996</v>
      </c>
      <c r="AH25" s="208">
        <f>IFERROR(VLOOKUP($B$1,'Indicadores Financeiros'!$C$145:$J$306,6,FALSE),0)</f>
        <v>0.27810000000000001</v>
      </c>
      <c r="AI25" s="209">
        <f t="shared" si="4"/>
        <v>1267.98</v>
      </c>
      <c r="AJ25" s="210">
        <f t="shared" si="5"/>
        <v>5827.42</v>
      </c>
      <c r="AK25" s="247"/>
      <c r="AL25" s="216"/>
      <c r="AN25" s="216"/>
    </row>
    <row r="26" spans="1:40" ht="25.5" x14ac:dyDescent="0.25">
      <c r="A26" s="200">
        <v>690033</v>
      </c>
      <c r="B26" s="199" t="s">
        <v>330</v>
      </c>
      <c r="C26" s="200">
        <v>1</v>
      </c>
      <c r="D26" s="199" t="str">
        <f>IFERROR(VLOOKUP(C26,'Indicadores Financeiros'!$A$96:$H$109,2,FALSE),"Não se aplica")</f>
        <v>Auxiliar de Limpeza - 44 horas Semanais</v>
      </c>
      <c r="E26" s="199" t="s">
        <v>331</v>
      </c>
      <c r="F26" s="199" t="s">
        <v>235</v>
      </c>
      <c r="G26" s="275">
        <f>IF(E26="Posto",IF(A26=690032,'Indicadores Financeiros'!$J$75,'Indicadores Financeiros'!$J$74),IF(E26="Plantão - Sábado",'Indicadores Financeiros'!$J$77,'Indicadores Financeiros'!$J$76))</f>
        <v>6</v>
      </c>
      <c r="H26" s="201">
        <v>30</v>
      </c>
      <c r="I26" s="201">
        <f>IFERROR(VLOOKUP($A26,'Indicadores Financeiros'!$A$90:$J$92,10,FALSE),0)</f>
        <v>0</v>
      </c>
      <c r="J26" s="201">
        <f>IF(E26="Posto",IFERROR(VLOOKUP($C26,'Indicadores Financeiros'!$A$96:$H$109,6,FALSE),0),0)</f>
        <v>0</v>
      </c>
      <c r="K26" s="202">
        <v>0</v>
      </c>
      <c r="L26" s="202">
        <v>0</v>
      </c>
      <c r="M26" s="203">
        <v>0</v>
      </c>
      <c r="N26" s="203">
        <v>0</v>
      </c>
      <c r="O26" s="203">
        <f>IF(H26&lt;&gt;0,ROUND(IFERROR(VLOOKUP($C26,'Indicadores Financeiros'!$A$96:$H$109,6,FALSE),0)/220*IF($E26="Plantão - Sábado",1.5,2),2),0)</f>
        <v>15.61</v>
      </c>
      <c r="P26" s="203">
        <f t="shared" si="3"/>
        <v>468.29999999999995</v>
      </c>
      <c r="Q26" s="203">
        <f>IF(E26="Posto",ROUND('Indicadores Financeiros'!$J$63*P26,2),ROUND('Indicadores Financeiros'!$J$63*O26,2)*H26)</f>
        <v>364.8</v>
      </c>
      <c r="R26" s="203">
        <f>IF(E26="Posto",IF(OR($C26=11,$C26=12),'Indicadores Financeiros'!$J$114,'Indicadores Financeiros'!$G$114),0)</f>
        <v>0</v>
      </c>
      <c r="S26" s="203">
        <f>IF(E26="Posto",IF(OR($C26=11,$C26=12),'Indicadores Financeiros'!$J$115,'Indicadores Financeiros'!$G$115),0)</f>
        <v>0</v>
      </c>
      <c r="T26" s="203">
        <f>IF($E26="Posto",IF(OR($C26=11,$C26=12),'Indicadores Financeiros'!$J$116,'Indicadores Financeiros'!$G$116),0)</f>
        <v>0</v>
      </c>
      <c r="U26" s="203">
        <f>IF($E26="Posto",IF(OR($C26=11,$C26=12),'Indicadores Financeiros'!$J$117,'Indicadores Financeiros'!$G$117),0)</f>
        <v>0</v>
      </c>
      <c r="V26" s="203">
        <f>IF(E26="Posto",IF(OR($C26=11,$C26=12),'Indicadores Financeiros'!$J$118,'Indicadores Financeiros'!$G$118),0)</f>
        <v>0</v>
      </c>
      <c r="W26" s="203">
        <f>IF(E26="Posto",IF(OR($C26=11,$C26=12),'Indicadores Financeiros'!$J$119,'Indicadores Financeiros'!$G$119),0)</f>
        <v>0</v>
      </c>
      <c r="X26" s="203">
        <f>IF(E26="Posto",IF(OR($C26=11,$C26=12),'Indicadores Financeiros'!$J$120,'Indicadores Financeiros'!$G$120),0)</f>
        <v>0</v>
      </c>
      <c r="Y26" s="203">
        <f>IF(E26="Posto",IF(OR($C26=11,$C26=12),'Indicadores Financeiros'!$J$121,'Indicadores Financeiros'!$G$121),0)</f>
        <v>0</v>
      </c>
      <c r="Z26" s="203">
        <f>IF(OR(A26=690002,A26=690016,A26=690035,A26=690038,A26=690064),0,IF(E26&lt;&gt;"M2",ROUND(IF(OR($C26=11,$C26=12),'Indicadores Financeiros'!$J$122,'Indicadores Financeiros'!$G$122)*$G26,2),0))</f>
        <v>116.22</v>
      </c>
      <c r="AA26" s="203">
        <f>IF(E26="Posto",ROUND(IF(OR($C26=11,$C26=12),'Indicadores Financeiros'!$J$123*G26,'Indicadores Financeiros'!$G$123*G26) + IF(OR($C26=11,$C26=12),'Indicadores Financeiros'!$J$124,'Indicadores Financeiros'!$G$124),2),0)</f>
        <v>0</v>
      </c>
      <c r="AB26" s="204">
        <f t="shared" si="0"/>
        <v>116.22</v>
      </c>
      <c r="AC26" s="203">
        <f>IF(E26&lt;&gt;"M2",IF((J26*6%)&gt;=(VLOOKUP($B$1,'Indicadores Financeiros'!$C$145:$J$208,7,FALSE)*G26),0,ROUND((VLOOKUP($B$1,'Indicadores Financeiros'!$C$145:$J$208,7,FALSE)*G26),2)-ROUND($J26*6%,2)),0)</f>
        <v>65.88</v>
      </c>
      <c r="AD26" s="201">
        <f>IF(E26="Posto",IFERROR(VLOOKUP($C26,'Indicadores Financeiros'!$A$128:$M$141,9,FALSE),0),0)</f>
        <v>0</v>
      </c>
      <c r="AE26" s="205">
        <f>IF(E26="Posto",IFERROR(VLOOKUP($C26,'Indicadores Financeiros'!$A$128:$M$141,10,FALSE),0),0)</f>
        <v>0</v>
      </c>
      <c r="AF26" s="206">
        <f t="shared" si="1"/>
        <v>0</v>
      </c>
      <c r="AG26" s="207">
        <f t="shared" si="2"/>
        <v>1015.2</v>
      </c>
      <c r="AH26" s="208">
        <f>IFERROR(VLOOKUP($B$1,'Indicadores Financeiros'!$C$145:$J$306,6,FALSE),0)</f>
        <v>0.27810000000000001</v>
      </c>
      <c r="AI26" s="209">
        <f t="shared" si="4"/>
        <v>282.33</v>
      </c>
      <c r="AJ26" s="210">
        <f t="shared" si="5"/>
        <v>1297.53</v>
      </c>
      <c r="AK26" s="247"/>
      <c r="AL26" s="216"/>
      <c r="AN26" s="216"/>
    </row>
    <row r="27" spans="1:40" x14ac:dyDescent="0.25">
      <c r="A27" s="200">
        <v>690035</v>
      </c>
      <c r="B27" s="199" t="s">
        <v>332</v>
      </c>
      <c r="C27" s="200">
        <v>14</v>
      </c>
      <c r="D27" s="199" t="str">
        <f>IFERROR(VLOOKUP(C27,'Indicadores Financeiros'!$A$96:$H$109,2,FALSE),"")</f>
        <v>Copeiro - 24 horas Semanais</v>
      </c>
      <c r="E27" s="199" t="s">
        <v>306</v>
      </c>
      <c r="F27" s="199" t="s">
        <v>233</v>
      </c>
      <c r="G27" s="201">
        <f>IF(E27="Posto",IF(A27=690032,'Indicadores Financeiros'!$J$75,'Indicadores Financeiros'!$J$74),IF(E27="Plantão - Sábado",'Indicadores Financeiros'!$J$77,'Indicadores Financeiros'!$J$76))</f>
        <v>21</v>
      </c>
      <c r="H27" s="201">
        <v>0</v>
      </c>
      <c r="I27" s="201">
        <f>IFERROR(VLOOKUP($A27,'Indicadores Financeiros'!$A$90:$J$92,10,FALSE),0)</f>
        <v>0</v>
      </c>
      <c r="J27" s="201">
        <f>IF(E27="Posto",IFERROR(VLOOKUP($C27,'Indicadores Financeiros'!$A$96:$H$109,6,FALSE),0),0)</f>
        <v>1037.42</v>
      </c>
      <c r="K27" s="202">
        <v>0</v>
      </c>
      <c r="L27" s="202">
        <v>0</v>
      </c>
      <c r="M27" s="203">
        <v>0</v>
      </c>
      <c r="N27" s="203">
        <v>0</v>
      </c>
      <c r="O27" s="203">
        <f>IF(H27&lt;&gt;0,ROUND(IFERROR(VLOOKUP($C27,'Indicadores Financeiros'!$A$96:$H$109,6,FALSE),0)/220*IF($E27="Plantão - Sábado",1.5,2),2),0)</f>
        <v>0</v>
      </c>
      <c r="P27" s="203">
        <f t="shared" si="3"/>
        <v>1037.42</v>
      </c>
      <c r="Q27" s="203">
        <f>IF(E27="Posto",ROUND('Indicadores Financeiros'!$J$63*P27,2),ROUND('Indicadores Financeiros'!$J$63*O27,2)*H27)</f>
        <v>808.32</v>
      </c>
      <c r="R27" s="203">
        <f>IF(E27="Posto",IF(OR($C27=11,$C27=12),'Indicadores Financeiros'!$J$114,'Indicadores Financeiros'!$G$114),0)</f>
        <v>35.33</v>
      </c>
      <c r="S27" s="203">
        <f>IF(E27="Posto",IF(OR($C27=11,$C27=12),'Indicadores Financeiros'!$J$115,'Indicadores Financeiros'!$G$115),0)</f>
        <v>23.29</v>
      </c>
      <c r="T27" s="203">
        <f>IF($E27="Posto",IF(OR($C27=11,$C27=12),'Indicadores Financeiros'!$J$116,'Indicadores Financeiros'!$G$116),0)</f>
        <v>15.96</v>
      </c>
      <c r="U27" s="203">
        <f>IF($E27="Posto",IF(OR($C27=11,$C27=12),'Indicadores Financeiros'!$J$117,'Indicadores Financeiros'!$G$117),0)</f>
        <v>0</v>
      </c>
      <c r="V27" s="203">
        <f>IF(E27="Posto",IF(OR($C27=11,$C27=12),'Indicadores Financeiros'!$J$118,'Indicadores Financeiros'!$G$118),0)</f>
        <v>144.68</v>
      </c>
      <c r="W27" s="203">
        <f>IF(E27="Posto",IF(OR($C27=11,$C27=12),'Indicadores Financeiros'!$J$119,'Indicadores Financeiros'!$G$119),0)</f>
        <v>1.73</v>
      </c>
      <c r="X27" s="203">
        <f>IF(E27="Posto",IF(OR($C27=11,$C27=12),'Indicadores Financeiros'!$J$120,'Indicadores Financeiros'!$G$120),0)</f>
        <v>7.6</v>
      </c>
      <c r="Y27" s="203">
        <f>IF(E27="Posto",IF(OR($C27=11,$C27=12),'Indicadores Financeiros'!$J$121,'Indicadores Financeiros'!$G$121),0)</f>
        <v>0</v>
      </c>
      <c r="Z27" s="203">
        <f>IF(OR(A27=690002,A27=690016,A27=690035,A27=690038,A27=690064),0,IF(E27&lt;&gt;"M2",ROUND(IF(OR($C27=11,$C27=12),'Indicadores Financeiros'!$J$122,'Indicadores Financeiros'!$G$122)*$G27,2),0))</f>
        <v>0</v>
      </c>
      <c r="AA27" s="203">
        <f>IF(E27="Posto",ROUND(IF(OR($C27=11,$C27=12),'Indicadores Financeiros'!$J$123*G27,'Indicadores Financeiros'!$G$123*G27) + IF(OR($C27=11,$C27=12),'Indicadores Financeiros'!$J$124,'Indicadores Financeiros'!$G$124),2),0)</f>
        <v>0</v>
      </c>
      <c r="AB27" s="204">
        <f t="shared" si="0"/>
        <v>228.59</v>
      </c>
      <c r="AC27" s="203">
        <f>IF(E27&lt;&gt;"M2",IF((J27*6%)&gt;=(VLOOKUP($B$1,'Indicadores Financeiros'!$C$145:$J$208,7,FALSE)*G27),0,ROUND((VLOOKUP($B$1,'Indicadores Financeiros'!$C$145:$J$208,7,FALSE)*G27),2)-ROUND($J27*6%,2)),0)</f>
        <v>168.33</v>
      </c>
      <c r="AD27" s="201">
        <f>IF(E27="Posto",IFERROR(VLOOKUP($C27,'Indicadores Financeiros'!$A$128:$M$141,9,FALSE),0),0)</f>
        <v>62.81</v>
      </c>
      <c r="AE27" s="205">
        <f>IF(E27="Posto",IFERROR(VLOOKUP($C27,'Indicadores Financeiros'!$A$128:$M$141,10,FALSE),0),0)</f>
        <v>0</v>
      </c>
      <c r="AF27" s="206">
        <f t="shared" si="1"/>
        <v>0</v>
      </c>
      <c r="AG27" s="207">
        <f t="shared" si="2"/>
        <v>2305.4699999999998</v>
      </c>
      <c r="AH27" s="208">
        <f>IFERROR(VLOOKUP($B$1,'Indicadores Financeiros'!$C$145:$J$306,6,FALSE),0)</f>
        <v>0.27810000000000001</v>
      </c>
      <c r="AI27" s="209">
        <f t="shared" si="4"/>
        <v>641.15</v>
      </c>
      <c r="AJ27" s="210">
        <f t="shared" si="5"/>
        <v>2946.62</v>
      </c>
      <c r="AK27" s="247"/>
      <c r="AL27" s="216"/>
      <c r="AN27" s="216"/>
    </row>
    <row r="28" spans="1:40" ht="25.5" x14ac:dyDescent="0.25">
      <c r="A28" s="200">
        <v>690037</v>
      </c>
      <c r="B28" s="199" t="s">
        <v>333</v>
      </c>
      <c r="C28" s="200">
        <v>4</v>
      </c>
      <c r="D28" s="199" t="str">
        <f>IFERROR(VLOOKUP(C28,'Indicadores Financeiros'!$A$96:$H$109,2,FALSE),"")</f>
        <v>Agente de Higienização - 44 horas semanais</v>
      </c>
      <c r="E28" s="199" t="s">
        <v>306</v>
      </c>
      <c r="F28" s="199" t="s">
        <v>233</v>
      </c>
      <c r="G28" s="201">
        <f>IF(E28="Posto",IF(A28=690032,'Indicadores Financeiros'!$J$75,'Indicadores Financeiros'!$J$74),IF(E28="Plantão - Sábado",'Indicadores Financeiros'!$J$77,'Indicadores Financeiros'!$J$76))</f>
        <v>21</v>
      </c>
      <c r="H28" s="201">
        <v>0</v>
      </c>
      <c r="I28" s="201">
        <f>IFERROR(VLOOKUP($A28,'Indicadores Financeiros'!$A$90:$J$92,10,FALSE),0)</f>
        <v>0</v>
      </c>
      <c r="J28" s="201">
        <f>IF(E28="Posto",IFERROR(VLOOKUP($C28,'Indicadores Financeiros'!$A$96:$H$109,6,FALSE),0),0)</f>
        <v>1717.2</v>
      </c>
      <c r="K28" s="202">
        <v>0</v>
      </c>
      <c r="L28" s="202">
        <v>0</v>
      </c>
      <c r="M28" s="211">
        <f>IFERROR(VLOOKUP($C28,'Indicadores Financeiros'!$A$96:$Z$109,9,FALSE),0)</f>
        <v>607.20000000000005</v>
      </c>
      <c r="N28" s="203">
        <v>0</v>
      </c>
      <c r="O28" s="203">
        <f>IF(H28&lt;&gt;0,ROUND(IFERROR(VLOOKUP($C28,'Indicadores Financeiros'!$A$96:$H$109,6,FALSE),0)/220*IF($E28="Plantão - Sábado",1.5,2),2),0)</f>
        <v>0</v>
      </c>
      <c r="P28" s="203">
        <f t="shared" si="3"/>
        <v>2324.4</v>
      </c>
      <c r="Q28" s="203">
        <f>IF(E28="Posto",ROUND('Indicadores Financeiros'!$J$63*P28,2),ROUND('Indicadores Financeiros'!$J$63*O28,2)*H28)</f>
        <v>1811.09</v>
      </c>
      <c r="R28" s="203">
        <f>IF(E28="Posto",IF(OR($C28=11,$C28=12),'Indicadores Financeiros'!$J$114,'Indicadores Financeiros'!$G$114),0)</f>
        <v>35.33</v>
      </c>
      <c r="S28" s="203">
        <f>IF(E28="Posto",IF(OR($C28=11,$C28=12),'Indicadores Financeiros'!$J$115,'Indicadores Financeiros'!$G$115),0)</f>
        <v>23.29</v>
      </c>
      <c r="T28" s="203">
        <f>IF($E28="Posto",IF(OR($C28=11,$C28=12),'Indicadores Financeiros'!$J$116,'Indicadores Financeiros'!$G$116),0)</f>
        <v>15.96</v>
      </c>
      <c r="U28" s="203">
        <f>IF($E28="Posto",IF(OR($C28=11,$C28=12),'Indicadores Financeiros'!$J$117,'Indicadores Financeiros'!$G$117),0)</f>
        <v>0</v>
      </c>
      <c r="V28" s="203">
        <f>IF(E28="Posto",IF(OR($C28=11,$C28=12),'Indicadores Financeiros'!$J$118,'Indicadores Financeiros'!$G$118),0)</f>
        <v>144.68</v>
      </c>
      <c r="W28" s="203">
        <f>IF(E28="Posto",IF(OR($C28=11,$C28=12),'Indicadores Financeiros'!$J$119,'Indicadores Financeiros'!$G$119),0)</f>
        <v>1.73</v>
      </c>
      <c r="X28" s="203">
        <f>IF(E28="Posto",IF(OR($C28=11,$C28=12),'Indicadores Financeiros'!$J$120,'Indicadores Financeiros'!$G$120),0)</f>
        <v>7.6</v>
      </c>
      <c r="Y28" s="203">
        <f>IF(E28="Posto",IF(OR($C28=11,$C28=12),'Indicadores Financeiros'!$J$121,'Indicadores Financeiros'!$G$121),0)</f>
        <v>0</v>
      </c>
      <c r="Z28" s="203">
        <f>IF(OR(A28=690002,A28=690016,A28=690035,A28=690038,A28=690064),0,IF(E28&lt;&gt;"M2",ROUND(IF(OR($C28=11,$C28=12),'Indicadores Financeiros'!$J$122,'Indicadores Financeiros'!$G$122)*$G28,2),0))</f>
        <v>406.77</v>
      </c>
      <c r="AA28" s="203">
        <f>IF(E28="Posto",ROUND(IF(OR($C28=11,$C28=12),'Indicadores Financeiros'!$J$123*G28,'Indicadores Financeiros'!$G$123*G28) + IF(OR($C28=11,$C28=12),'Indicadores Financeiros'!$J$124,'Indicadores Financeiros'!$G$124),2),0)</f>
        <v>0</v>
      </c>
      <c r="AB28" s="204">
        <f t="shared" si="0"/>
        <v>635.36</v>
      </c>
      <c r="AC28" s="203">
        <f>IF(E28&lt;&gt;"M2",IF((J28*6%)&gt;=(VLOOKUP($B$1,'Indicadores Financeiros'!$C$145:$J$208,7,FALSE)*G28),0,ROUND((VLOOKUP($B$1,'Indicadores Financeiros'!$C$145:$J$208,7,FALSE)*G28),2)-ROUND($J28*6%,2)),0)</f>
        <v>127.55000000000001</v>
      </c>
      <c r="AD28" s="201">
        <f>IF(E28="Posto",IFERROR(VLOOKUP($C28,'Indicadores Financeiros'!$A$128:$M$141,9,FALSE),0),0)</f>
        <v>62.81</v>
      </c>
      <c r="AE28" s="205">
        <f>IF(E28="Posto",IFERROR(VLOOKUP($C28,'Indicadores Financeiros'!$A$128:$M$141,10,FALSE),0),0)</f>
        <v>0.12</v>
      </c>
      <c r="AF28" s="206">
        <f t="shared" si="1"/>
        <v>676.53</v>
      </c>
      <c r="AG28" s="207">
        <f t="shared" si="2"/>
        <v>5637.74</v>
      </c>
      <c r="AH28" s="208">
        <f>IFERROR(VLOOKUP($B$1,'Indicadores Financeiros'!$C$145:$J$306,6,FALSE),0)</f>
        <v>0.27810000000000001</v>
      </c>
      <c r="AI28" s="209">
        <f t="shared" si="4"/>
        <v>1567.86</v>
      </c>
      <c r="AJ28" s="210">
        <f t="shared" si="5"/>
        <v>7205.6</v>
      </c>
      <c r="AK28" s="247"/>
      <c r="AL28" s="216"/>
      <c r="AN28" s="216"/>
    </row>
    <row r="29" spans="1:40" ht="25.5" x14ac:dyDescent="0.25">
      <c r="A29" s="200">
        <v>690038</v>
      </c>
      <c r="B29" s="199" t="s">
        <v>334</v>
      </c>
      <c r="C29" s="200">
        <v>5</v>
      </c>
      <c r="D29" s="199" t="str">
        <f>IFERROR(VLOOKUP(C29,'Indicadores Financeiros'!$A$96:$H$109,2,FALSE),"")</f>
        <v>Agente de Higienização - 24 horas semanais</v>
      </c>
      <c r="E29" s="199" t="s">
        <v>306</v>
      </c>
      <c r="F29" s="199" t="s">
        <v>233</v>
      </c>
      <c r="G29" s="201">
        <f>IF(E29="Posto",IF(A29=690032,'Indicadores Financeiros'!$J$75,'Indicadores Financeiros'!$J$74),IF(E29="Plantão - Sábado",'Indicadores Financeiros'!$J$77,'Indicadores Financeiros'!$J$76))</f>
        <v>21</v>
      </c>
      <c r="H29" s="201">
        <v>0</v>
      </c>
      <c r="I29" s="201">
        <f>IFERROR(VLOOKUP($A29,'Indicadores Financeiros'!$A$90:$J$92,10,FALSE),0)</f>
        <v>0</v>
      </c>
      <c r="J29" s="201">
        <f>IF(E29="Posto",IFERROR(VLOOKUP($C29,'Indicadores Financeiros'!$A$96:$H$109,6,FALSE),0),0)</f>
        <v>1030.32</v>
      </c>
      <c r="K29" s="202">
        <v>0</v>
      </c>
      <c r="L29" s="202">
        <v>0</v>
      </c>
      <c r="M29" s="211">
        <f>IFERROR(VLOOKUP($C29,'Indicadores Financeiros'!$A$96:$Z$109,9,FALSE),0)</f>
        <v>607.20000000000005</v>
      </c>
      <c r="N29" s="203">
        <v>0</v>
      </c>
      <c r="O29" s="203">
        <f>IF(H29&lt;&gt;0,ROUND(IFERROR(VLOOKUP($C29,'Indicadores Financeiros'!$A$96:$H$109,6,FALSE),0)/220*IF($E29="Plantão - Sábado",1.5,2),2),0)</f>
        <v>0</v>
      </c>
      <c r="P29" s="203">
        <f t="shared" si="3"/>
        <v>1637.52</v>
      </c>
      <c r="Q29" s="203">
        <f>IF(E29="Posto",ROUND('Indicadores Financeiros'!$J$63*P29,2),ROUND('Indicadores Financeiros'!$J$63*O29,2)*H29)</f>
        <v>1275.9000000000001</v>
      </c>
      <c r="R29" s="203">
        <f>IF(E29="Posto",IF(OR($C29=11,$C29=12),'Indicadores Financeiros'!$J$114,'Indicadores Financeiros'!$G$114),0)</f>
        <v>35.33</v>
      </c>
      <c r="S29" s="203">
        <f>IF(E29="Posto",IF(OR($C29=11,$C29=12),'Indicadores Financeiros'!$J$115,'Indicadores Financeiros'!$G$115),0)</f>
        <v>23.29</v>
      </c>
      <c r="T29" s="203">
        <f>IF($E29="Posto",IF(OR($C29=11,$C29=12),'Indicadores Financeiros'!$J$116,'Indicadores Financeiros'!$G$116),0)</f>
        <v>15.96</v>
      </c>
      <c r="U29" s="203">
        <f>IF($E29="Posto",IF(OR($C29=11,$C29=12),'Indicadores Financeiros'!$J$117,'Indicadores Financeiros'!$G$117),0)</f>
        <v>0</v>
      </c>
      <c r="V29" s="203">
        <f>IF(E29="Posto",IF(OR($C29=11,$C29=12),'Indicadores Financeiros'!$J$118,'Indicadores Financeiros'!$G$118),0)</f>
        <v>144.68</v>
      </c>
      <c r="W29" s="203">
        <f>IF(E29="Posto",IF(OR($C29=11,$C29=12),'Indicadores Financeiros'!$J$119,'Indicadores Financeiros'!$G$119),0)</f>
        <v>1.73</v>
      </c>
      <c r="X29" s="203">
        <f>IF(E29="Posto",IF(OR($C29=11,$C29=12),'Indicadores Financeiros'!$J$120,'Indicadores Financeiros'!$G$120),0)</f>
        <v>7.6</v>
      </c>
      <c r="Y29" s="203">
        <f>IF(E29="Posto",IF(OR($C29=11,$C29=12),'Indicadores Financeiros'!$J$121,'Indicadores Financeiros'!$G$121),0)</f>
        <v>0</v>
      </c>
      <c r="Z29" s="203">
        <f>IF(OR(A29=690002,A29=690016,A29=690035,A29=690038,A29=690064),0,IF(E29&lt;&gt;"M2",ROUND(IF(OR($C29=11,$C29=12),'Indicadores Financeiros'!$J$122,'Indicadores Financeiros'!$G$122)*$G29,2),0))</f>
        <v>0</v>
      </c>
      <c r="AA29" s="203">
        <f>IF(E29="Posto",ROUND(IF(OR($C29=11,$C29=12),'Indicadores Financeiros'!$J$123*G29,'Indicadores Financeiros'!$G$123*G29) + IF(OR($C29=11,$C29=12),'Indicadores Financeiros'!$J$124,'Indicadores Financeiros'!$G$124),2),0)</f>
        <v>0</v>
      </c>
      <c r="AB29" s="204">
        <f t="shared" si="0"/>
        <v>228.59</v>
      </c>
      <c r="AC29" s="203">
        <f>IF(E29&lt;&gt;"M2",IF((J29*6%)&gt;=(VLOOKUP($B$1,'Indicadores Financeiros'!$C$145:$J$208,7,FALSE)*G29),0,ROUND((VLOOKUP($B$1,'Indicadores Financeiros'!$C$145:$J$208,7,FALSE)*G29),2)-ROUND($J29*6%,2)),0)</f>
        <v>168.76000000000002</v>
      </c>
      <c r="AD29" s="201">
        <f>IF(E29="Posto",IFERROR(VLOOKUP($C29,'Indicadores Financeiros'!$A$128:$M$141,9,FALSE),0),0)</f>
        <v>62.81</v>
      </c>
      <c r="AE29" s="205">
        <f>IF(E29="Posto",IFERROR(VLOOKUP($C29,'Indicadores Financeiros'!$A$128:$M$141,10,FALSE),0),0)</f>
        <v>0.12</v>
      </c>
      <c r="AF29" s="206">
        <f t="shared" si="1"/>
        <v>460.03</v>
      </c>
      <c r="AG29" s="207">
        <f t="shared" si="2"/>
        <v>3833.61</v>
      </c>
      <c r="AH29" s="208">
        <f>IFERROR(VLOOKUP($B$1,'Indicadores Financeiros'!$C$145:$J$306,6,FALSE),0)</f>
        <v>0.27810000000000001</v>
      </c>
      <c r="AI29" s="209">
        <f t="shared" si="4"/>
        <v>1066.1300000000001</v>
      </c>
      <c r="AJ29" s="210">
        <f t="shared" si="5"/>
        <v>4899.74</v>
      </c>
      <c r="AK29" s="247"/>
      <c r="AL29" s="216"/>
      <c r="AN29" s="216"/>
    </row>
    <row r="30" spans="1:40" x14ac:dyDescent="0.25">
      <c r="A30" s="200">
        <v>690054</v>
      </c>
      <c r="B30" s="199" t="s">
        <v>335</v>
      </c>
      <c r="C30" s="200">
        <v>6</v>
      </c>
      <c r="D30" s="199" t="str">
        <f>IFERROR(VLOOKUP(C30,'Indicadores Financeiros'!$A$96:$H$109,2,FALSE),"")</f>
        <v>Líder de Limpeza (até 10 subordinados) - 44 horas Semanais</v>
      </c>
      <c r="E30" s="199" t="s">
        <v>306</v>
      </c>
      <c r="F30" s="199" t="s">
        <v>233</v>
      </c>
      <c r="G30" s="201">
        <f>IF(E30="Posto",IF(A30=690032,'Indicadores Financeiros'!$J$75,'Indicadores Financeiros'!$J$74),IF(E30="Plantão - Sábado",'Indicadores Financeiros'!$J$77,'Indicadores Financeiros'!$J$76))</f>
        <v>21</v>
      </c>
      <c r="H30" s="201">
        <v>0</v>
      </c>
      <c r="I30" s="201">
        <f>IFERROR(VLOOKUP($A30,'Indicadores Financeiros'!$A$90:$J$92,10,FALSE),0)</f>
        <v>0</v>
      </c>
      <c r="J30" s="201">
        <f>IF(E30="Posto",IFERROR(VLOOKUP($C30,'Indicadores Financeiros'!$A$96:$H$109,6,FALSE),0),0)</f>
        <v>1872.8</v>
      </c>
      <c r="K30" s="202">
        <v>0</v>
      </c>
      <c r="L30" s="202">
        <v>0</v>
      </c>
      <c r="M30" s="203">
        <v>0</v>
      </c>
      <c r="N30" s="203">
        <v>0</v>
      </c>
      <c r="O30" s="203">
        <f>IF(H30&lt;&gt;0,ROUND(IFERROR(VLOOKUP($C30,'Indicadores Financeiros'!$A$96:$H$109,6,FALSE),0)/220*IF($E30="Plantão - Sábado",1.5,2),2),0)</f>
        <v>0</v>
      </c>
      <c r="P30" s="203">
        <f t="shared" si="3"/>
        <v>1872.8</v>
      </c>
      <c r="Q30" s="203">
        <f>IF(E30="Posto",ROUND('Indicadores Financeiros'!$J$63*P30,2),ROUND('Indicadores Financeiros'!$J$63*O30,2)*H30)</f>
        <v>1459.22</v>
      </c>
      <c r="R30" s="203">
        <f>IF(E30="Posto",IF(OR($C30=11,$C30=12),'Indicadores Financeiros'!$J$114,'Indicadores Financeiros'!$G$114),0)</f>
        <v>35.33</v>
      </c>
      <c r="S30" s="203">
        <f>IF(E30="Posto",IF(OR($C30=11,$C30=12),'Indicadores Financeiros'!$J$115,'Indicadores Financeiros'!$G$115),0)</f>
        <v>23.29</v>
      </c>
      <c r="T30" s="203">
        <f>IF($E30="Posto",IF(OR($C30=11,$C30=12),'Indicadores Financeiros'!$J$116,'Indicadores Financeiros'!$G$116),0)</f>
        <v>15.96</v>
      </c>
      <c r="U30" s="203">
        <f>IF($E30="Posto",IF(OR($C30=11,$C30=12),'Indicadores Financeiros'!$J$117,'Indicadores Financeiros'!$G$117),0)</f>
        <v>0</v>
      </c>
      <c r="V30" s="203">
        <f>IF(E30="Posto",IF(OR($C30=11,$C30=12),'Indicadores Financeiros'!$J$118,'Indicadores Financeiros'!$G$118),0)</f>
        <v>144.68</v>
      </c>
      <c r="W30" s="203">
        <f>IF(E30="Posto",IF(OR($C30=11,$C30=12),'Indicadores Financeiros'!$J$119,'Indicadores Financeiros'!$G$119),0)</f>
        <v>1.73</v>
      </c>
      <c r="X30" s="203">
        <f>IF(E30="Posto",IF(OR($C30=11,$C30=12),'Indicadores Financeiros'!$J$120,'Indicadores Financeiros'!$G$120),0)</f>
        <v>7.6</v>
      </c>
      <c r="Y30" s="203">
        <f>IF(E30="Posto",IF(OR($C30=11,$C30=12),'Indicadores Financeiros'!$J$121,'Indicadores Financeiros'!$G$121),0)</f>
        <v>0</v>
      </c>
      <c r="Z30" s="203">
        <f>IF(OR(A30=690002,A30=690016,A30=690035,A30=690038,A30=690064),0,IF(E30&lt;&gt;"M2",ROUND(IF(OR($C30=11,$C30=12),'Indicadores Financeiros'!$J$122,'Indicadores Financeiros'!$G$122)*$G30,2),0))</f>
        <v>406.77</v>
      </c>
      <c r="AA30" s="203">
        <f>IF(E30="Posto",ROUND(IF(OR($C30=11,$C30=12),'Indicadores Financeiros'!$J$123*G30,'Indicadores Financeiros'!$G$123*G30) + IF(OR($C30=11,$C30=12),'Indicadores Financeiros'!$J$124,'Indicadores Financeiros'!$G$124),2),0)</f>
        <v>0</v>
      </c>
      <c r="AB30" s="204">
        <f t="shared" si="0"/>
        <v>635.36</v>
      </c>
      <c r="AC30" s="203">
        <f>IF(E30&lt;&gt;"M2",IF((J30*6%)&gt;=(VLOOKUP($B$1,'Indicadores Financeiros'!$C$145:$J$208,7,FALSE)*G30),0,ROUND((VLOOKUP($B$1,'Indicadores Financeiros'!$C$145:$J$208,7,FALSE)*G30),2)-ROUND($J30*6%,2)),0)</f>
        <v>118.21000000000001</v>
      </c>
      <c r="AD30" s="201">
        <f>IF(E30="Posto",IFERROR(VLOOKUP($C30,'Indicadores Financeiros'!$A$128:$M$141,9,FALSE),0),0)</f>
        <v>73.040000000000006</v>
      </c>
      <c r="AE30" s="205">
        <f>IF(E30="Posto",IFERROR(VLOOKUP($C30,'Indicadores Financeiros'!$A$128:$M$141,10,FALSE),0),0)</f>
        <v>0.12</v>
      </c>
      <c r="AF30" s="206">
        <f t="shared" si="1"/>
        <v>567.09</v>
      </c>
      <c r="AG30" s="207">
        <f t="shared" si="2"/>
        <v>4725.72</v>
      </c>
      <c r="AH30" s="208">
        <f>IFERROR(VLOOKUP($B$1,'Indicadores Financeiros'!$C$145:$J$306,6,FALSE),0)</f>
        <v>0.27810000000000001</v>
      </c>
      <c r="AI30" s="209">
        <f t="shared" si="4"/>
        <v>1314.22</v>
      </c>
      <c r="AJ30" s="210">
        <f t="shared" si="5"/>
        <v>6039.94</v>
      </c>
      <c r="AK30" s="247"/>
      <c r="AL30" s="216"/>
      <c r="AN30" s="216"/>
    </row>
    <row r="31" spans="1:40" x14ac:dyDescent="0.25">
      <c r="A31" s="200">
        <v>690055</v>
      </c>
      <c r="B31" s="199" t="s">
        <v>336</v>
      </c>
      <c r="C31" s="200">
        <v>6</v>
      </c>
      <c r="D31" s="199" t="str">
        <f>IFERROR(VLOOKUP(C31,'Indicadores Financeiros'!$A$96:$H$109,2,FALSE),"")</f>
        <v>Líder de Limpeza (até 10 subordinados) - 44 horas Semanais</v>
      </c>
      <c r="E31" s="199" t="s">
        <v>306</v>
      </c>
      <c r="F31" s="199" t="s">
        <v>233</v>
      </c>
      <c r="G31" s="201">
        <f>IF(E31="Posto",IF(A31=690032,'Indicadores Financeiros'!$J$75,'Indicadores Financeiros'!$J$74),IF(E31="Plantão - Sábado",'Indicadores Financeiros'!$J$77,'Indicadores Financeiros'!$J$76))</f>
        <v>21</v>
      </c>
      <c r="H31" s="201">
        <v>0</v>
      </c>
      <c r="I31" s="201">
        <f>IFERROR(VLOOKUP($A31,'Indicadores Financeiros'!$A$90:$J$92,10,FALSE),0)</f>
        <v>0</v>
      </c>
      <c r="J31" s="201">
        <f>IF(E31="Posto",IFERROR(VLOOKUP($C31,'Indicadores Financeiros'!$A$96:$H$109,6,FALSE),0),0)</f>
        <v>1872.8</v>
      </c>
      <c r="K31" s="202">
        <v>0</v>
      </c>
      <c r="L31" s="211">
        <f>IFERROR(VLOOKUP($C31,'Indicadores Financeiros'!$A$96:$H$109,8,FALSE),0)</f>
        <v>398.39</v>
      </c>
      <c r="M31" s="203">
        <v>0</v>
      </c>
      <c r="N31" s="203">
        <v>0</v>
      </c>
      <c r="O31" s="203">
        <f>IF(H31&lt;&gt;0,ROUND(IFERROR(VLOOKUP($C31,'Indicadores Financeiros'!$A$96:$H$109,6,FALSE),0)/220*IF($E31="Plantão - Sábado",1.5,2),2),0)</f>
        <v>0</v>
      </c>
      <c r="P31" s="203">
        <f t="shared" si="3"/>
        <v>2271.19</v>
      </c>
      <c r="Q31" s="203">
        <f>IF(E31="Posto",ROUND('Indicadores Financeiros'!$J$63*P31,2),ROUND('Indicadores Financeiros'!$J$63*O31,2)*H31)</f>
        <v>1769.63</v>
      </c>
      <c r="R31" s="203">
        <f>IF(E31="Posto",IF(OR($C31=11,$C31=12),'Indicadores Financeiros'!$J$114,'Indicadores Financeiros'!$G$114),0)</f>
        <v>35.33</v>
      </c>
      <c r="S31" s="203">
        <f>IF(E31="Posto",IF(OR($C31=11,$C31=12),'Indicadores Financeiros'!$J$115,'Indicadores Financeiros'!$G$115),0)</f>
        <v>23.29</v>
      </c>
      <c r="T31" s="203">
        <f>IF($E31="Posto",IF(OR($C31=11,$C31=12),'Indicadores Financeiros'!$J$116,'Indicadores Financeiros'!$G$116),0)</f>
        <v>15.96</v>
      </c>
      <c r="U31" s="203">
        <f>IF($E31="Posto",IF(OR($C31=11,$C31=12),'Indicadores Financeiros'!$J$117,'Indicadores Financeiros'!$G$117),0)</f>
        <v>0</v>
      </c>
      <c r="V31" s="203">
        <f>IF(E31="Posto",IF(OR($C31=11,$C31=12),'Indicadores Financeiros'!$J$118,'Indicadores Financeiros'!$G$118),0)</f>
        <v>144.68</v>
      </c>
      <c r="W31" s="203">
        <f>IF(E31="Posto",IF(OR($C31=11,$C31=12),'Indicadores Financeiros'!$J$119,'Indicadores Financeiros'!$G$119),0)</f>
        <v>1.73</v>
      </c>
      <c r="X31" s="203">
        <f>IF(E31="Posto",IF(OR($C31=11,$C31=12),'Indicadores Financeiros'!$J$120,'Indicadores Financeiros'!$G$120),0)</f>
        <v>7.6</v>
      </c>
      <c r="Y31" s="203">
        <f>IF(E31="Posto",IF(OR($C31=11,$C31=12),'Indicadores Financeiros'!$J$121,'Indicadores Financeiros'!$G$121),0)</f>
        <v>0</v>
      </c>
      <c r="Z31" s="203">
        <f>IF(OR(A31=690002,A31=690016,A31=690035,A31=690038,A31=690064),0,IF(E31&lt;&gt;"M2",ROUND(IF(OR($C31=11,$C31=12),'Indicadores Financeiros'!$J$122,'Indicadores Financeiros'!$G$122)*$G31,2),0))</f>
        <v>406.77</v>
      </c>
      <c r="AA31" s="203">
        <f>IF(E31="Posto",ROUND(IF(OR($C31=11,$C31=12),'Indicadores Financeiros'!$J$123*G31,'Indicadores Financeiros'!$G$123*G31) + IF(OR($C31=11,$C31=12),'Indicadores Financeiros'!$J$124,'Indicadores Financeiros'!$G$124),2),0)</f>
        <v>0</v>
      </c>
      <c r="AB31" s="204">
        <f t="shared" si="0"/>
        <v>635.36</v>
      </c>
      <c r="AC31" s="203">
        <f>IF(E31&lt;&gt;"M2",IF((J31*6%)&gt;=(VLOOKUP($B$1,'Indicadores Financeiros'!$C$145:$J$208,7,FALSE)*G31),0,ROUND((VLOOKUP($B$1,'Indicadores Financeiros'!$C$145:$J$208,7,FALSE)*G31),2)-ROUND($J31*6%,2)),0)</f>
        <v>118.21000000000001</v>
      </c>
      <c r="AD31" s="201">
        <f>IF(E31="Posto",IFERROR(VLOOKUP($C31,'Indicadores Financeiros'!$A$128:$M$141,9,FALSE),0),0)</f>
        <v>73.040000000000006</v>
      </c>
      <c r="AE31" s="205">
        <f>IF(E31="Posto",IFERROR(VLOOKUP($C31,'Indicadores Financeiros'!$A$128:$M$141,10,FALSE),0),0)</f>
        <v>0.12</v>
      </c>
      <c r="AF31" s="206">
        <f t="shared" si="1"/>
        <v>663.74</v>
      </c>
      <c r="AG31" s="207">
        <f t="shared" si="2"/>
        <v>5531.17</v>
      </c>
      <c r="AH31" s="208">
        <f>IFERROR(VLOOKUP($B$1,'Indicadores Financeiros'!$C$145:$J$306,6,FALSE),0)</f>
        <v>0.27810000000000001</v>
      </c>
      <c r="AI31" s="209">
        <f t="shared" si="4"/>
        <v>1538.22</v>
      </c>
      <c r="AJ31" s="210">
        <f t="shared" si="5"/>
        <v>7069.39</v>
      </c>
      <c r="AK31" s="247"/>
      <c r="AL31" s="216"/>
      <c r="AN31" s="216"/>
    </row>
    <row r="32" spans="1:40" ht="25.5" x14ac:dyDescent="0.25">
      <c r="A32" s="200">
        <v>690056</v>
      </c>
      <c r="B32" s="199" t="s">
        <v>337</v>
      </c>
      <c r="C32" s="200">
        <v>7</v>
      </c>
      <c r="D32" s="199" t="str">
        <f>IFERROR(VLOOKUP(C32,'Indicadores Financeiros'!$A$96:$H$109,2,FALSE),"")</f>
        <v>Encarregado de Limpeza (11 ou mais subordinados) - 44 horas Semanais</v>
      </c>
      <c r="E32" s="199" t="s">
        <v>306</v>
      </c>
      <c r="F32" s="199" t="s">
        <v>233</v>
      </c>
      <c r="G32" s="201">
        <f>IF(E32="Posto",IF(A32=690032,'Indicadores Financeiros'!$J$75,'Indicadores Financeiros'!$J$74),IF(E32="Plantão - Sábado",'Indicadores Financeiros'!$J$77,'Indicadores Financeiros'!$J$76))</f>
        <v>21</v>
      </c>
      <c r="H32" s="201">
        <v>0</v>
      </c>
      <c r="I32" s="201">
        <f>IFERROR(VLOOKUP($A32,'Indicadores Financeiros'!$A$90:$J$92,10,FALSE),0)</f>
        <v>0</v>
      </c>
      <c r="J32" s="201">
        <f>IF(E32="Posto",IFERROR(VLOOKUP($C32,'Indicadores Financeiros'!$A$96:$H$109,6,FALSE),0),0)</f>
        <v>2247.37</v>
      </c>
      <c r="K32" s="202">
        <v>0</v>
      </c>
      <c r="L32" s="202">
        <v>0</v>
      </c>
      <c r="M32" s="203">
        <v>0</v>
      </c>
      <c r="N32" s="203">
        <v>0</v>
      </c>
      <c r="O32" s="203">
        <f>IF(H32&lt;&gt;0,ROUND(IFERROR(VLOOKUP($C32,'Indicadores Financeiros'!$A$96:$H$109,6,FALSE),0)/220*IF($E32="Plantão - Sábado",1.5,2),2),0)</f>
        <v>0</v>
      </c>
      <c r="P32" s="203">
        <f t="shared" si="3"/>
        <v>2247.37</v>
      </c>
      <c r="Q32" s="203">
        <f>IF(E32="Posto",ROUND('Indicadores Financeiros'!$J$63*P32,2),ROUND('Indicadores Financeiros'!$J$63*O32,2)*H32)</f>
        <v>1751.07</v>
      </c>
      <c r="R32" s="203">
        <f>IF(E32="Posto",IF(OR($C32=11,$C32=12),'Indicadores Financeiros'!$J$114,'Indicadores Financeiros'!$G$114),0)</f>
        <v>35.33</v>
      </c>
      <c r="S32" s="203">
        <f>IF(E32="Posto",IF(OR($C32=11,$C32=12),'Indicadores Financeiros'!$J$115,'Indicadores Financeiros'!$G$115),0)</f>
        <v>23.29</v>
      </c>
      <c r="T32" s="203">
        <f>IF($E32="Posto",IF(OR($C32=11,$C32=12),'Indicadores Financeiros'!$J$116,'Indicadores Financeiros'!$G$116),0)</f>
        <v>15.96</v>
      </c>
      <c r="U32" s="203">
        <f>IF($E32="Posto",IF(OR($C32=11,$C32=12),'Indicadores Financeiros'!$J$117,'Indicadores Financeiros'!$G$117),0)</f>
        <v>0</v>
      </c>
      <c r="V32" s="203">
        <f>IF(E32="Posto",IF(OR($C32=11,$C32=12),'Indicadores Financeiros'!$J$118,'Indicadores Financeiros'!$G$118),0)</f>
        <v>144.68</v>
      </c>
      <c r="W32" s="203">
        <f>IF(E32="Posto",IF(OR($C32=11,$C32=12),'Indicadores Financeiros'!$J$119,'Indicadores Financeiros'!$G$119),0)</f>
        <v>1.73</v>
      </c>
      <c r="X32" s="203">
        <f>IF(E32="Posto",IF(OR($C32=11,$C32=12),'Indicadores Financeiros'!$J$120,'Indicadores Financeiros'!$G$120),0)</f>
        <v>7.6</v>
      </c>
      <c r="Y32" s="203">
        <f>IF(E32="Posto",IF(OR($C32=11,$C32=12),'Indicadores Financeiros'!$J$121,'Indicadores Financeiros'!$G$121),0)</f>
        <v>0</v>
      </c>
      <c r="Z32" s="203">
        <f>IF(OR(A32=690002,A32=690016,A32=690035,A32=690038,A32=690064),0,IF(E32&lt;&gt;"M2",ROUND(IF(OR($C32=11,$C32=12),'Indicadores Financeiros'!$J$122,'Indicadores Financeiros'!$G$122)*$G32,2),0))</f>
        <v>406.77</v>
      </c>
      <c r="AA32" s="203">
        <f>IF(E32="Posto",ROUND(IF(OR($C32=11,$C32=12),'Indicadores Financeiros'!$J$123*G32,'Indicadores Financeiros'!$G$123*G32) + IF(OR($C32=11,$C32=12),'Indicadores Financeiros'!$J$124,'Indicadores Financeiros'!$G$124),2),0)</f>
        <v>0</v>
      </c>
      <c r="AB32" s="204">
        <f t="shared" si="0"/>
        <v>635.36</v>
      </c>
      <c r="AC32" s="203">
        <f>IF(E32&lt;&gt;"M2",IF((J32*6%)&gt;=(VLOOKUP($B$1,'Indicadores Financeiros'!$C$145:$J$208,7,FALSE)*G32),0,ROUND((VLOOKUP($B$1,'Indicadores Financeiros'!$C$145:$J$208,7,FALSE)*G32),2)-ROUND($J32*6%,2)),0)</f>
        <v>95.740000000000009</v>
      </c>
      <c r="AD32" s="201">
        <f>IF(E32="Posto",IFERROR(VLOOKUP($C32,'Indicadores Financeiros'!$A$128:$M$141,9,FALSE),0),0)</f>
        <v>73.040000000000006</v>
      </c>
      <c r="AE32" s="205">
        <f>IF(E32="Posto",IFERROR(VLOOKUP($C32,'Indicadores Financeiros'!$A$128:$M$141,10,FALSE),0),0)</f>
        <v>0.12</v>
      </c>
      <c r="AF32" s="206">
        <f t="shared" si="1"/>
        <v>654.9</v>
      </c>
      <c r="AG32" s="207">
        <f t="shared" si="2"/>
        <v>5457.48</v>
      </c>
      <c r="AH32" s="208">
        <f>IFERROR(VLOOKUP($B$1,'Indicadores Financeiros'!$C$145:$J$306,6,FALSE),0)</f>
        <v>0.27810000000000001</v>
      </c>
      <c r="AI32" s="209">
        <f t="shared" si="4"/>
        <v>1517.73</v>
      </c>
      <c r="AJ32" s="210">
        <f t="shared" si="5"/>
        <v>6975.21</v>
      </c>
      <c r="AK32" s="247"/>
      <c r="AL32" s="216"/>
      <c r="AN32" s="216"/>
    </row>
    <row r="33" spans="1:101" ht="25.5" x14ac:dyDescent="0.25">
      <c r="A33" s="200">
        <v>690057</v>
      </c>
      <c r="B33" s="199" t="s">
        <v>338</v>
      </c>
      <c r="C33" s="200">
        <v>7</v>
      </c>
      <c r="D33" s="199" t="str">
        <f>IFERROR(VLOOKUP(C33,'Indicadores Financeiros'!$A$96:$H$109,2,FALSE),"")</f>
        <v>Encarregado de Limpeza (11 ou mais subordinados) - 44 horas Semanais</v>
      </c>
      <c r="E33" s="199" t="s">
        <v>306</v>
      </c>
      <c r="F33" s="199" t="s">
        <v>233</v>
      </c>
      <c r="G33" s="201">
        <f>IF(E33="Posto",IF(A33=690032,'Indicadores Financeiros'!$J$75,'Indicadores Financeiros'!$J$74),IF(E33="Plantão - Sábado",'Indicadores Financeiros'!$J$77,'Indicadores Financeiros'!$J$76))</f>
        <v>21</v>
      </c>
      <c r="H33" s="201">
        <v>0</v>
      </c>
      <c r="I33" s="201">
        <f>IFERROR(VLOOKUP($A33,'Indicadores Financeiros'!$A$90:$J$92,10,FALSE),0)</f>
        <v>0</v>
      </c>
      <c r="J33" s="201">
        <f>IF(E33="Posto",IFERROR(VLOOKUP($C33,'Indicadores Financeiros'!$A$96:$H$109,6,FALSE),0),0)</f>
        <v>2247.37</v>
      </c>
      <c r="K33" s="202">
        <v>0</v>
      </c>
      <c r="L33" s="211">
        <f>IFERROR(VLOOKUP($C33,'Indicadores Financeiros'!$A$96:$H$109,8,FALSE),0)</f>
        <v>478.08000000000004</v>
      </c>
      <c r="M33" s="203">
        <v>0</v>
      </c>
      <c r="N33" s="203">
        <v>0</v>
      </c>
      <c r="O33" s="203">
        <f>IF(H33&lt;&gt;0,ROUND(IFERROR(VLOOKUP($C33,'Indicadores Financeiros'!$A$96:$H$109,6,FALSE),0)/220*IF($E33="Plantão - Sábado",1.5,2),2),0)</f>
        <v>0</v>
      </c>
      <c r="P33" s="203">
        <f t="shared" si="3"/>
        <v>2725.45</v>
      </c>
      <c r="Q33" s="203">
        <f>IF(E33="Posto",ROUND('Indicadores Financeiros'!$J$63*P33,2),ROUND('Indicadores Financeiros'!$J$63*O33,2)*H33)</f>
        <v>2123.58</v>
      </c>
      <c r="R33" s="203">
        <f>IF(E33="Posto",IF(OR($C33=11,$C33=12),'Indicadores Financeiros'!$J$114,'Indicadores Financeiros'!$G$114),0)</f>
        <v>35.33</v>
      </c>
      <c r="S33" s="203">
        <f>IF(E33="Posto",IF(OR($C33=11,$C33=12),'Indicadores Financeiros'!$J$115,'Indicadores Financeiros'!$G$115),0)</f>
        <v>23.29</v>
      </c>
      <c r="T33" s="203">
        <f>IF($E33="Posto",IF(OR($C33=11,$C33=12),'Indicadores Financeiros'!$J$116,'Indicadores Financeiros'!$G$116),0)</f>
        <v>15.96</v>
      </c>
      <c r="U33" s="203">
        <f>IF($E33="Posto",IF(OR($C33=11,$C33=12),'Indicadores Financeiros'!$J$117,'Indicadores Financeiros'!$G$117),0)</f>
        <v>0</v>
      </c>
      <c r="V33" s="203">
        <f>IF(E33="Posto",IF(OR($C33=11,$C33=12),'Indicadores Financeiros'!$J$118,'Indicadores Financeiros'!$G$118),0)</f>
        <v>144.68</v>
      </c>
      <c r="W33" s="203">
        <f>IF(E33="Posto",IF(OR($C33=11,$C33=12),'Indicadores Financeiros'!$J$119,'Indicadores Financeiros'!$G$119),0)</f>
        <v>1.73</v>
      </c>
      <c r="X33" s="203">
        <f>IF(E33="Posto",IF(OR($C33=11,$C33=12),'Indicadores Financeiros'!$J$120,'Indicadores Financeiros'!$G$120),0)</f>
        <v>7.6</v>
      </c>
      <c r="Y33" s="203">
        <f>IF(E33="Posto",IF(OR($C33=11,$C33=12),'Indicadores Financeiros'!$J$121,'Indicadores Financeiros'!$G$121),0)</f>
        <v>0</v>
      </c>
      <c r="Z33" s="203">
        <f>IF(OR(A33=690002,A33=690016,A33=690035,A33=690038,A33=690064),0,IF(E33&lt;&gt;"M2",ROUND(IF(OR($C33=11,$C33=12),'Indicadores Financeiros'!$J$122,'Indicadores Financeiros'!$G$122)*$G33,2),0))</f>
        <v>406.77</v>
      </c>
      <c r="AA33" s="203">
        <f>IF(E33="Posto",ROUND(IF(OR($C33=11,$C33=12),'Indicadores Financeiros'!$J$123*G33,'Indicadores Financeiros'!$G$123*G33) + IF(OR($C33=11,$C33=12),'Indicadores Financeiros'!$J$124,'Indicadores Financeiros'!$G$124),2),0)</f>
        <v>0</v>
      </c>
      <c r="AB33" s="204">
        <f t="shared" si="0"/>
        <v>635.36</v>
      </c>
      <c r="AC33" s="203">
        <f>IF(E33&lt;&gt;"M2",IF((J33*6%)&gt;=(VLOOKUP($B$1,'Indicadores Financeiros'!$C$145:$J$208,7,FALSE)*G33),0,ROUND((VLOOKUP($B$1,'Indicadores Financeiros'!$C$145:$J$208,7,FALSE)*G33),2)-ROUND($J33*6%,2)),0)</f>
        <v>95.740000000000009</v>
      </c>
      <c r="AD33" s="201">
        <f>IF(E33="Posto",IFERROR(VLOOKUP($C33,'Indicadores Financeiros'!$A$128:$M$141,9,FALSE),0),0)</f>
        <v>73.040000000000006</v>
      </c>
      <c r="AE33" s="205">
        <f>IF(E33="Posto",IFERROR(VLOOKUP($C33,'Indicadores Financeiros'!$A$128:$M$141,10,FALSE),0),0)</f>
        <v>0.12</v>
      </c>
      <c r="AF33" s="206">
        <f t="shared" si="1"/>
        <v>770.89</v>
      </c>
      <c r="AG33" s="207">
        <f t="shared" si="2"/>
        <v>6424.06</v>
      </c>
      <c r="AH33" s="208">
        <f>IFERROR(VLOOKUP($B$1,'Indicadores Financeiros'!$C$145:$J$306,6,FALSE),0)</f>
        <v>0.27810000000000001</v>
      </c>
      <c r="AI33" s="209">
        <f t="shared" si="4"/>
        <v>1786.53</v>
      </c>
      <c r="AJ33" s="210">
        <f t="shared" si="5"/>
        <v>8210.59</v>
      </c>
      <c r="AK33" s="247"/>
      <c r="AL33" s="216"/>
      <c r="AN33" s="216"/>
    </row>
    <row r="34" spans="1:101" ht="25.5" x14ac:dyDescent="0.25">
      <c r="A34" s="200">
        <v>690058</v>
      </c>
      <c r="B34" s="199" t="s">
        <v>339</v>
      </c>
      <c r="C34" s="200">
        <v>4</v>
      </c>
      <c r="D34" s="199" t="str">
        <f>IFERROR(VLOOKUP(C34,'Indicadores Financeiros'!$A$96:$H$109,2,FALSE),"")</f>
        <v>Agente de Higienização - 44 horas semanais</v>
      </c>
      <c r="E34" s="199" t="s">
        <v>323</v>
      </c>
      <c r="F34" s="199" t="s">
        <v>233</v>
      </c>
      <c r="G34" s="201">
        <f>IF(E34="Posto",IF(A34=690032,'Indicadores Financeiros'!$J$75,'Indicadores Financeiros'!$J$74),IF(E34="Plantão - Sábado",'Indicadores Financeiros'!$J$77,'Indicadores Financeiros'!$J$76))</f>
        <v>5</v>
      </c>
      <c r="H34" s="201">
        <v>40</v>
      </c>
      <c r="I34" s="201">
        <f>IFERROR(VLOOKUP($A34,'Indicadores Financeiros'!$A$90:$J$92,10,FALSE),0)</f>
        <v>0</v>
      </c>
      <c r="J34" s="201">
        <f>IF(E34="Posto",IFERROR(VLOOKUP($C34,'Indicadores Financeiros'!$A$96:$H$109,6,FALSE),0),0)</f>
        <v>0</v>
      </c>
      <c r="K34" s="202">
        <v>0</v>
      </c>
      <c r="L34" s="202">
        <v>0</v>
      </c>
      <c r="M34" s="203">
        <v>0</v>
      </c>
      <c r="N34" s="203">
        <v>0</v>
      </c>
      <c r="O34" s="203">
        <f>IF(H34&lt;&gt;0,ROUND(IFERROR(VLOOKUP($C34,'Indicadores Financeiros'!$A$96:$H$109,6,FALSE)+VLOOKUP($C34,'Indicadores Financeiros'!$A$96:$I$109,9,FALSE),0)/220*IF($E34="Plantão - Sábado",1.5,2),2),0)</f>
        <v>15.85</v>
      </c>
      <c r="P34" s="203">
        <f t="shared" ref="P34" si="6">IF(E34="Posto",SUM(J34:N34),O34*H34)</f>
        <v>634</v>
      </c>
      <c r="Q34" s="203">
        <f>IF(E34="Posto",ROUND('Indicadores Financeiros'!$J$63*P34,2),ROUND('Indicadores Financeiros'!$J$63*O34,2)*H34)</f>
        <v>494</v>
      </c>
      <c r="R34" s="203">
        <f>IF(E34="Posto",IF(OR($C34=11,$C34=12),'Indicadores Financeiros'!$J$114,'Indicadores Financeiros'!$G$114),0)</f>
        <v>0</v>
      </c>
      <c r="S34" s="203">
        <f>IF(E34="Posto",IF(OR($C34=11,$C34=12),'Indicadores Financeiros'!$J$115,'Indicadores Financeiros'!$G$115),0)</f>
        <v>0</v>
      </c>
      <c r="T34" s="203">
        <f>IF($E34="Posto",IF(OR($C34=11,$C34=12),'Indicadores Financeiros'!$J$116,'Indicadores Financeiros'!$G$116),0)</f>
        <v>0</v>
      </c>
      <c r="U34" s="203">
        <f>IF($E34="Posto",IF(OR($C34=11,$C34=12),'Indicadores Financeiros'!$J$117,'Indicadores Financeiros'!$G$117),0)</f>
        <v>0</v>
      </c>
      <c r="V34" s="203">
        <f>IF(E34="Posto",IF(OR($C34=11,$C34=12),'Indicadores Financeiros'!$J$118,'Indicadores Financeiros'!$G$118),0)</f>
        <v>0</v>
      </c>
      <c r="W34" s="203">
        <f>IF(E34="Posto",IF(OR($C34=11,$C34=12),'Indicadores Financeiros'!$J$119,'Indicadores Financeiros'!$G$119),0)</f>
        <v>0</v>
      </c>
      <c r="X34" s="203">
        <f>IF(E34="Posto",IF(OR($C34=11,$C34=12),'Indicadores Financeiros'!$J$120,'Indicadores Financeiros'!$G$120),0)</f>
        <v>0</v>
      </c>
      <c r="Y34" s="203">
        <f>IF(E34="Posto",IF(OR($C34=11,$C34=12),'Indicadores Financeiros'!$J$121,'Indicadores Financeiros'!$G$121),0)</f>
        <v>0</v>
      </c>
      <c r="Z34" s="203">
        <f>IF(OR(A34=690002,A34=690016,A34=690035,A34=690038,A34=690064),0,IF(E34&lt;&gt;"M2",ROUND(IF(OR($C34=11,$C34=12),'Indicadores Financeiros'!$J$122,'Indicadores Financeiros'!$G$122)*$G34,2),0))</f>
        <v>96.85</v>
      </c>
      <c r="AA34" s="203">
        <f>IF(E34="Posto",ROUND(IF(OR($C34=11,$C34=12),'Indicadores Financeiros'!$J$123*G34,'Indicadores Financeiros'!$G$123*G34) + IF(OR($C34=11,$C34=12),'Indicadores Financeiros'!$J$124,'Indicadores Financeiros'!$G$124),2),0)</f>
        <v>0</v>
      </c>
      <c r="AB34" s="204">
        <f t="shared" si="0"/>
        <v>96.85</v>
      </c>
      <c r="AC34" s="203">
        <f>IF(E34&lt;&gt;"M2",IF((J34*6%)&gt;=(VLOOKUP($B$1,'Indicadores Financeiros'!$C$145:$J$208,7,FALSE)*G34),0,ROUND((VLOOKUP($B$1,'Indicadores Financeiros'!$C$145:$J$208,7,FALSE)*G34),2)-ROUND($J34*6%,2)),0)</f>
        <v>54.9</v>
      </c>
      <c r="AD34" s="201">
        <f>IF(E34="Posto",IFERROR(VLOOKUP($C34,'Indicadores Financeiros'!$A$128:$M$141,9,FALSE),0),0)</f>
        <v>0</v>
      </c>
      <c r="AE34" s="205">
        <f>IF(E34="Posto",IFERROR(VLOOKUP($C34,'Indicadores Financeiros'!$A$128:$M$141,10,FALSE),0),0)</f>
        <v>0</v>
      </c>
      <c r="AF34" s="206">
        <f t="shared" si="1"/>
        <v>0</v>
      </c>
      <c r="AG34" s="207">
        <f t="shared" si="2"/>
        <v>1279.75</v>
      </c>
      <c r="AH34" s="208">
        <f>IFERROR(VLOOKUP($B$1,'Indicadores Financeiros'!$C$145:$J$306,6,FALSE),0)</f>
        <v>0.27810000000000001</v>
      </c>
      <c r="AI34" s="209">
        <f t="shared" ref="AI34" si="7">ROUND(AG34*AH34,2)</f>
        <v>355.9</v>
      </c>
      <c r="AJ34" s="210">
        <f t="shared" ref="AJ34" si="8">ROUND(AG34+AI34,2)</f>
        <v>1635.65</v>
      </c>
      <c r="AK34" s="247"/>
      <c r="AL34" s="216"/>
      <c r="AN34" s="216"/>
    </row>
    <row r="35" spans="1:101" ht="25.5" x14ac:dyDescent="0.25">
      <c r="A35" s="200">
        <v>690059</v>
      </c>
      <c r="B35" s="199" t="s">
        <v>340</v>
      </c>
      <c r="C35" s="200">
        <v>4</v>
      </c>
      <c r="D35" s="199" t="str">
        <f>IFERROR(VLOOKUP(C35,'Indicadores Financeiros'!$A$96:$H$109,2,FALSE),"")</f>
        <v>Agente de Higienização - 44 horas semanais</v>
      </c>
      <c r="E35" s="199" t="s">
        <v>310</v>
      </c>
      <c r="F35" s="199" t="s">
        <v>233</v>
      </c>
      <c r="G35" s="201">
        <f>IF(E35="Posto",IF(A35=690032,'Indicadores Financeiros'!$J$75,'Indicadores Financeiros'!$J$74),IF(E35="Plantão - Sábado",'Indicadores Financeiros'!$J$77,'Indicadores Financeiros'!$J$76))</f>
        <v>6</v>
      </c>
      <c r="H35" s="201">
        <v>48</v>
      </c>
      <c r="I35" s="201">
        <f>IFERROR(VLOOKUP($A35,'Indicadores Financeiros'!$A$90:$J$92,10,FALSE),0)</f>
        <v>0</v>
      </c>
      <c r="J35" s="201">
        <f>IF(E35="Posto",IFERROR(VLOOKUP($C35,'Indicadores Financeiros'!$A$96:$H$109,6,FALSE),0),0)</f>
        <v>0</v>
      </c>
      <c r="K35" s="202">
        <v>0</v>
      </c>
      <c r="L35" s="202">
        <v>0</v>
      </c>
      <c r="M35" s="203">
        <v>0</v>
      </c>
      <c r="N35" s="203">
        <v>0</v>
      </c>
      <c r="O35" s="203">
        <f>IF(H35&lt;&gt;0,ROUND(IFERROR(VLOOKUP($C35,'Indicadores Financeiros'!$A$96:$H$109,6,FALSE)+VLOOKUP($C35,'Indicadores Financeiros'!$A$96:$I$109,9,FALSE),0)/220*IF($E35="Plantão - Sábado",1.5,2),2),0)</f>
        <v>21.13</v>
      </c>
      <c r="P35" s="203">
        <f t="shared" ref="P35" si="9">IF(E35="Posto",SUM(J35:N35),O35*H35)</f>
        <v>1014.24</v>
      </c>
      <c r="Q35" s="203">
        <f>IF(E35="Posto",ROUND('Indicadores Financeiros'!$J$63*P35,2),ROUND('Indicadores Financeiros'!$J$63*O35,2)*H35)</f>
        <v>790.08</v>
      </c>
      <c r="R35" s="203">
        <f>IF(E35="Posto",IF(OR($C35=11,$C35=12),'Indicadores Financeiros'!$J$114,'Indicadores Financeiros'!$G$114),0)</f>
        <v>0</v>
      </c>
      <c r="S35" s="203">
        <f>IF(E35="Posto",IF(OR($C35=11,$C35=12),'Indicadores Financeiros'!$J$115,'Indicadores Financeiros'!$G$115),0)</f>
        <v>0</v>
      </c>
      <c r="T35" s="203">
        <f>IF($E35="Posto",IF(OR($C35=11,$C35=12),'Indicadores Financeiros'!$J$116,'Indicadores Financeiros'!$G$116),0)</f>
        <v>0</v>
      </c>
      <c r="U35" s="203">
        <f>IF($E35="Posto",IF(OR($C35=11,$C35=12),'Indicadores Financeiros'!$J$117,'Indicadores Financeiros'!$G$117),0)</f>
        <v>0</v>
      </c>
      <c r="V35" s="203">
        <f>IF(E35="Posto",IF(OR($C35=11,$C35=12),'Indicadores Financeiros'!$J$118,'Indicadores Financeiros'!$G$118),0)</f>
        <v>0</v>
      </c>
      <c r="W35" s="203">
        <f>IF(E35="Posto",IF(OR($C35=11,$C35=12),'Indicadores Financeiros'!$J$119,'Indicadores Financeiros'!$G$119),0)</f>
        <v>0</v>
      </c>
      <c r="X35" s="203">
        <f>IF(E35="Posto",IF(OR($C35=11,$C35=12),'Indicadores Financeiros'!$J$120,'Indicadores Financeiros'!$G$120),0)</f>
        <v>0</v>
      </c>
      <c r="Y35" s="203">
        <f>IF(E35="Posto",IF(OR($C35=11,$C35=12),'Indicadores Financeiros'!$J$121,'Indicadores Financeiros'!$G$121),0)</f>
        <v>0</v>
      </c>
      <c r="Z35" s="203">
        <f>IF(OR(A35=690002,A35=690016,A35=690035,A35=690038,A35=690064),0,IF(E35&lt;&gt;"M2",ROUND(IF(OR($C35=11,$C35=12),'Indicadores Financeiros'!$J$122,'Indicadores Financeiros'!$G$122)*$G35,2),0))</f>
        <v>116.22</v>
      </c>
      <c r="AA35" s="203">
        <f>IF(E35="Posto",ROUND(IF(OR($C35=11,$C35=12),'Indicadores Financeiros'!$J$123*G35,'Indicadores Financeiros'!$G$123*G35) + IF(OR($C35=11,$C35=12),'Indicadores Financeiros'!$J$124,'Indicadores Financeiros'!$G$124),2),0)</f>
        <v>0</v>
      </c>
      <c r="AB35" s="204">
        <f t="shared" si="0"/>
        <v>116.22</v>
      </c>
      <c r="AC35" s="203">
        <f>IF(E35&lt;&gt;"M2",IF((J35*6%)&gt;=(VLOOKUP($B$1,'Indicadores Financeiros'!$C$145:$J$208,7,FALSE)*G35),0,ROUND((VLOOKUP($B$1,'Indicadores Financeiros'!$C$145:$J$208,7,FALSE)*G35),2)-ROUND($J35*6%,2)),0)</f>
        <v>65.88</v>
      </c>
      <c r="AD35" s="201">
        <f>IF(E35="Posto",IFERROR(VLOOKUP($C35,'Indicadores Financeiros'!$A$128:$M$141,9,FALSE),0),0)</f>
        <v>0</v>
      </c>
      <c r="AE35" s="205">
        <f>IF(E35="Posto",IFERROR(VLOOKUP($C35,'Indicadores Financeiros'!$A$128:$M$141,10,FALSE),0),0)</f>
        <v>0</v>
      </c>
      <c r="AF35" s="206">
        <f t="shared" si="1"/>
        <v>0</v>
      </c>
      <c r="AG35" s="207">
        <f t="shared" si="2"/>
        <v>1986.42</v>
      </c>
      <c r="AH35" s="208">
        <f>IFERROR(VLOOKUP($B$1,'Indicadores Financeiros'!$C$145:$J$306,6,FALSE),0)</f>
        <v>0.27810000000000001</v>
      </c>
      <c r="AI35" s="209">
        <f t="shared" ref="AI35" si="10">ROUND(AG35*AH35,2)</f>
        <v>552.41999999999996</v>
      </c>
      <c r="AJ35" s="210">
        <f t="shared" ref="AJ35" si="11">ROUND(AG35+AI35,2)</f>
        <v>2538.84</v>
      </c>
      <c r="AK35" s="247"/>
      <c r="AL35" s="216"/>
      <c r="AN35" s="216"/>
    </row>
    <row r="36" spans="1:101" ht="25.5" x14ac:dyDescent="0.25">
      <c r="A36" s="200">
        <v>690062</v>
      </c>
      <c r="B36" s="199" t="s">
        <v>341</v>
      </c>
      <c r="C36" s="200">
        <v>4</v>
      </c>
      <c r="D36" s="199" t="str">
        <f>IFERROR(VLOOKUP(C36,'Indicadores Financeiros'!$A$96:$H$109,2,FALSE),"")</f>
        <v>Agente de Higienização - 44 horas semanais</v>
      </c>
      <c r="E36" s="199" t="s">
        <v>306</v>
      </c>
      <c r="F36" s="199" t="s">
        <v>233</v>
      </c>
      <c r="G36" s="201">
        <f>IF(E36="Posto",IF(A36=690032,'Indicadores Financeiros'!$J$75,'Indicadores Financeiros'!$J$74),IF(E36="Plantão - Sábado",'Indicadores Financeiros'!$J$77,'Indicadores Financeiros'!$J$76))</f>
        <v>21</v>
      </c>
      <c r="H36" s="201">
        <v>0</v>
      </c>
      <c r="I36" s="201">
        <f>IFERROR(VLOOKUP($A36,'Indicadores Financeiros'!$A$90:$J$92,10,FALSE),0)</f>
        <v>0</v>
      </c>
      <c r="J36" s="201">
        <f>IF(E36="Posto",IFERROR(VLOOKUP($C36,'Indicadores Financeiros'!$A$96:$H$109,6,FALSE),0),0)</f>
        <v>1717.2</v>
      </c>
      <c r="K36" s="202">
        <v>0</v>
      </c>
      <c r="L36" s="211">
        <f>IFERROR(VLOOKUP($C36,'Indicadores Financeiros'!$A$96:$H$109,8,FALSE),0)</f>
        <v>494.46000000000004</v>
      </c>
      <c r="M36" s="211">
        <f>IFERROR(VLOOKUP($C36,'Indicadores Financeiros'!$A$96:$Z$109,9,FALSE),0)</f>
        <v>607.20000000000005</v>
      </c>
      <c r="N36" s="203">
        <f>IFERROR(VLOOKUP($C36,'Indicadores Financeiros'!$A$96:$H$109,9,FALSE),0)</f>
        <v>0</v>
      </c>
      <c r="O36" s="203">
        <f>IF(H36&lt;&gt;0,ROUND(IFERROR(VLOOKUP($C36,'Indicadores Financeiros'!$A$96:$H$109,6,FALSE),0)/220*IF($E36="Plantão - Sábado",1.5,2),2),0)</f>
        <v>0</v>
      </c>
      <c r="P36" s="203">
        <f t="shared" si="3"/>
        <v>2818.8599999999997</v>
      </c>
      <c r="Q36" s="203">
        <f>IF(E36="Posto",ROUND('Indicadores Financeiros'!$J$63*P36,2),ROUND('Indicadores Financeiros'!$J$63*O36,2)*H36)</f>
        <v>2196.36</v>
      </c>
      <c r="R36" s="203">
        <f>IF(E36="Posto",IF(OR($C36=11,$C36=12),'Indicadores Financeiros'!$J$114,'Indicadores Financeiros'!$G$114),0)</f>
        <v>35.33</v>
      </c>
      <c r="S36" s="203">
        <f>IF(E36="Posto",IF(OR($C36=11,$C36=12),'Indicadores Financeiros'!$J$115,'Indicadores Financeiros'!$G$115),0)</f>
        <v>23.29</v>
      </c>
      <c r="T36" s="203">
        <f>IF($E36="Posto",IF(OR($C36=11,$C36=12),'Indicadores Financeiros'!$J$116,'Indicadores Financeiros'!$G$116),0)</f>
        <v>15.96</v>
      </c>
      <c r="U36" s="203">
        <f>IF($E36="Posto",IF(OR($C36=11,$C36=12),'Indicadores Financeiros'!$J$117,'Indicadores Financeiros'!$G$117),0)</f>
        <v>0</v>
      </c>
      <c r="V36" s="203">
        <f>IF(E36="Posto",IF(OR($C36=11,$C36=12),'Indicadores Financeiros'!$J$118,'Indicadores Financeiros'!$G$118),0)</f>
        <v>144.68</v>
      </c>
      <c r="W36" s="203">
        <f>IF(E36="Posto",IF(OR($C36=11,$C36=12),'Indicadores Financeiros'!$J$119,'Indicadores Financeiros'!$G$119),0)</f>
        <v>1.73</v>
      </c>
      <c r="X36" s="203">
        <f>IF(E36="Posto",IF(OR($C36=11,$C36=12),'Indicadores Financeiros'!$J$120,'Indicadores Financeiros'!$G$120),0)</f>
        <v>7.6</v>
      </c>
      <c r="Y36" s="203">
        <f>IF(E36="Posto",IF(OR($C36=11,$C36=12),'Indicadores Financeiros'!$J$121,'Indicadores Financeiros'!$G$121),0)</f>
        <v>0</v>
      </c>
      <c r="Z36" s="203">
        <f>IF(OR(A36=690002,A36=690016,A36=690035,A36=690038,A36=690064),0,IF(E36&lt;&gt;"M2",ROUND(IF(OR($C36=11,$C36=12),'Indicadores Financeiros'!$J$122,'Indicadores Financeiros'!$G$122)*$G36,2),0))</f>
        <v>406.77</v>
      </c>
      <c r="AA36" s="203">
        <f>IF(E36="Posto",ROUND(IF(OR($C36=11,$C36=12),'Indicadores Financeiros'!$J$123*G36,'Indicadores Financeiros'!$G$123*G36) + IF(OR($C36=11,$C36=12),'Indicadores Financeiros'!$J$124,'Indicadores Financeiros'!$G$124),2),0)</f>
        <v>0</v>
      </c>
      <c r="AB36" s="204">
        <f t="shared" si="0"/>
        <v>635.36</v>
      </c>
      <c r="AC36" s="203">
        <f>IF(E36&lt;&gt;"M2",IF((J36*6%)&gt;=(VLOOKUP($B$1,'Indicadores Financeiros'!$C$145:$J$208,7,FALSE)*G36),0,ROUND((VLOOKUP($B$1,'Indicadores Financeiros'!$C$145:$J$208,7,FALSE)*G36),2)-ROUND($J36*6%,2)),0)</f>
        <v>127.55000000000001</v>
      </c>
      <c r="AD36" s="201">
        <f>IF(E36="Posto",IFERROR(VLOOKUP($C36,'Indicadores Financeiros'!$A$128:$M$141,9,FALSE),0),0)</f>
        <v>62.81</v>
      </c>
      <c r="AE36" s="205">
        <f>IF(E36="Posto",IFERROR(VLOOKUP($C36,'Indicadores Financeiros'!$A$128:$M$141,10,FALSE),0),0)</f>
        <v>0.12</v>
      </c>
      <c r="AF36" s="206">
        <f t="shared" si="1"/>
        <v>796.49</v>
      </c>
      <c r="AG36" s="207">
        <f t="shared" si="2"/>
        <v>6637.43</v>
      </c>
      <c r="AH36" s="208">
        <f>IFERROR(VLOOKUP($B$1,'Indicadores Financeiros'!$C$145:$J$306,6,FALSE),0)</f>
        <v>0.27810000000000001</v>
      </c>
      <c r="AI36" s="209">
        <f t="shared" si="4"/>
        <v>1845.87</v>
      </c>
      <c r="AJ36" s="210">
        <f t="shared" si="5"/>
        <v>8483.2999999999993</v>
      </c>
      <c r="AK36" s="247"/>
      <c r="AL36" s="216"/>
      <c r="AN36" s="216"/>
    </row>
    <row r="37" spans="1:101" ht="25.5" x14ac:dyDescent="0.25">
      <c r="A37" s="200">
        <v>690063</v>
      </c>
      <c r="B37" s="199" t="s">
        <v>342</v>
      </c>
      <c r="C37" s="200">
        <v>1</v>
      </c>
      <c r="D37" s="199" t="str">
        <f>IFERROR(VLOOKUP(C37,'Indicadores Financeiros'!$A$96:$H$109,2,FALSE),"")</f>
        <v>Auxiliar de Limpeza - 44 horas Semanais</v>
      </c>
      <c r="E37" s="199" t="s">
        <v>306</v>
      </c>
      <c r="F37" s="199" t="s">
        <v>233</v>
      </c>
      <c r="G37" s="201">
        <f>IF(E37="Posto",IF(A37=690032,'Indicadores Financeiros'!$J$75,'Indicadores Financeiros'!$J$74),IF(E37="Plantão - Sábado",'Indicadores Financeiros'!$J$77,'Indicadores Financeiros'!$J$76))</f>
        <v>21</v>
      </c>
      <c r="H37" s="201">
        <v>0</v>
      </c>
      <c r="I37" s="201">
        <f>IFERROR(VLOOKUP($A37,'Indicadores Financeiros'!$A$90:$J$92,10,FALSE),0)</f>
        <v>0</v>
      </c>
      <c r="J37" s="201">
        <f>IF(E37="Posto",IFERROR(VLOOKUP($C37,'Indicadores Financeiros'!$A$96:$H$109,6,FALSE),0),0)</f>
        <v>1717.2</v>
      </c>
      <c r="K37" s="202">
        <v>0</v>
      </c>
      <c r="L37" s="202">
        <v>0</v>
      </c>
      <c r="M37" s="203">
        <v>0</v>
      </c>
      <c r="N37" s="211">
        <f>IFERROR(VLOOKUP($C37,'Indicadores Financeiros'!$A$96:$Z$109,10,FALSE),0)</f>
        <v>343.44</v>
      </c>
      <c r="O37" s="203">
        <f>IF(H37&lt;&gt;0,ROUND(IFERROR(VLOOKUP($C37,'Indicadores Financeiros'!$A$96:$H$109,6,FALSE),0)/220*IF($E37="Plantão - Sábado",1.5,2),2),0)</f>
        <v>0</v>
      </c>
      <c r="P37" s="203">
        <f t="shared" si="3"/>
        <v>2060.64</v>
      </c>
      <c r="Q37" s="203">
        <f>IF(E37="Posto",ROUND('Indicadores Financeiros'!$J$63*P37,2),ROUND('Indicadores Financeiros'!$J$63*O37,2)*H37)</f>
        <v>1605.58</v>
      </c>
      <c r="R37" s="203">
        <f>IF(E37="Posto",IF(OR($C37=11,$C37=12),'Indicadores Financeiros'!$J$114,'Indicadores Financeiros'!$G$114),0)</f>
        <v>35.33</v>
      </c>
      <c r="S37" s="203">
        <f>IF(E37="Posto",IF(OR($C37=11,$C37=12),'Indicadores Financeiros'!$J$115,'Indicadores Financeiros'!$G$115),0)</f>
        <v>23.29</v>
      </c>
      <c r="T37" s="203">
        <f>IF($E37="Posto",IF(OR($C37=11,$C37=12),'Indicadores Financeiros'!$J$116,'Indicadores Financeiros'!$G$116),0)</f>
        <v>15.96</v>
      </c>
      <c r="U37" s="203">
        <f>IF($E37="Posto",IF(OR($C37=11,$C37=12),'Indicadores Financeiros'!$J$117,'Indicadores Financeiros'!$G$117),0)</f>
        <v>0</v>
      </c>
      <c r="V37" s="203">
        <f>IF(E37="Posto",IF(OR($C37=11,$C37=12),'Indicadores Financeiros'!$J$118,'Indicadores Financeiros'!$G$118),0)</f>
        <v>144.68</v>
      </c>
      <c r="W37" s="203">
        <f>IF(E37="Posto",IF(OR($C37=11,$C37=12),'Indicadores Financeiros'!$J$119,'Indicadores Financeiros'!$G$119),0)</f>
        <v>1.73</v>
      </c>
      <c r="X37" s="203">
        <f>IF(E37="Posto",IF(OR($C37=11,$C37=12),'Indicadores Financeiros'!$J$120,'Indicadores Financeiros'!$G$120),0)</f>
        <v>7.6</v>
      </c>
      <c r="Y37" s="203">
        <f>IF(E37="Posto",IF(OR($C37=11,$C37=12),'Indicadores Financeiros'!$J$121,'Indicadores Financeiros'!$G$121),0)</f>
        <v>0</v>
      </c>
      <c r="Z37" s="203">
        <f>IF(OR(A37=690002,A37=690016,A37=690035,A37=690038,A37=690064),0,IF(E37&lt;&gt;"M2",ROUND(IF(OR($C37=11,$C37=12),'Indicadores Financeiros'!$J$122,'Indicadores Financeiros'!$G$122)*$G37,2),0))</f>
        <v>406.77</v>
      </c>
      <c r="AA37" s="203">
        <f>IF(E37="Posto",ROUND(IF(OR($C37=11,$C37=12),'Indicadores Financeiros'!$J$123*G37,'Indicadores Financeiros'!$G$123*G37) + IF(OR($C37=11,$C37=12),'Indicadores Financeiros'!$J$124,'Indicadores Financeiros'!$G$124),2),0)</f>
        <v>0</v>
      </c>
      <c r="AB37" s="204">
        <f t="shared" si="0"/>
        <v>635.36</v>
      </c>
      <c r="AC37" s="203">
        <f>IF(E37&lt;&gt;"M2",IF((J37*6%)&gt;=(VLOOKUP($B$1,'Indicadores Financeiros'!$C$145:$J$208,7,FALSE)*G37),0,ROUND((VLOOKUP($B$1,'Indicadores Financeiros'!$C$145:$J$208,7,FALSE)*G37),2)-ROUND($J37*6%,2)),0)</f>
        <v>127.55000000000001</v>
      </c>
      <c r="AD37" s="201">
        <f>IF(E37="Posto",IFERROR(VLOOKUP($C37,'Indicadores Financeiros'!$A$128:$M$141,9,FALSE),0),0)</f>
        <v>62.81</v>
      </c>
      <c r="AE37" s="205">
        <f>IF(E37="Posto",IFERROR(VLOOKUP($C37,'Indicadores Financeiros'!$A$128:$M$141,10,FALSE),0),0)</f>
        <v>0.12</v>
      </c>
      <c r="AF37" s="206">
        <f t="shared" si="1"/>
        <v>612.54</v>
      </c>
      <c r="AG37" s="207">
        <f t="shared" si="2"/>
        <v>5104.4799999999996</v>
      </c>
      <c r="AH37" s="208">
        <f>IFERROR(VLOOKUP($B$1,'Indicadores Financeiros'!$C$145:$J$306,6,FALSE),0)</f>
        <v>0.27810000000000001</v>
      </c>
      <c r="AI37" s="209">
        <f t="shared" si="4"/>
        <v>1419.56</v>
      </c>
      <c r="AJ37" s="210">
        <f t="shared" si="5"/>
        <v>6524.04</v>
      </c>
      <c r="AK37" s="247"/>
      <c r="AL37" s="216"/>
      <c r="AN37" s="216"/>
    </row>
    <row r="38" spans="1:101" ht="25.5" x14ac:dyDescent="0.25">
      <c r="A38" s="200">
        <v>690064</v>
      </c>
      <c r="B38" s="199" t="s">
        <v>343</v>
      </c>
      <c r="C38" s="200">
        <v>2</v>
      </c>
      <c r="D38" s="199" t="str">
        <f>IFERROR(VLOOKUP(C38,'Indicadores Financeiros'!$A$96:$H$109,2,FALSE),"")</f>
        <v>Auxiliar de Limpeza - 24 horas Semanais</v>
      </c>
      <c r="E38" s="199" t="s">
        <v>306</v>
      </c>
      <c r="F38" s="199" t="s">
        <v>233</v>
      </c>
      <c r="G38" s="201">
        <f>IF(E38="Posto",IF(A38=690032,'Indicadores Financeiros'!$J$75,'Indicadores Financeiros'!$J$74),IF(E38="Plantão - Sábado",'Indicadores Financeiros'!$J$77,'Indicadores Financeiros'!$J$76))</f>
        <v>21</v>
      </c>
      <c r="H38" s="201">
        <v>0</v>
      </c>
      <c r="I38" s="201">
        <f>IFERROR(VLOOKUP($A38,'Indicadores Financeiros'!$A$90:$J$92,10,FALSE),0)</f>
        <v>0</v>
      </c>
      <c r="J38" s="201">
        <f>IF(E38="Posto",IFERROR(VLOOKUP($C38,'Indicadores Financeiros'!$A$96:$H$109,6,FALSE),0),0)</f>
        <v>1030.32</v>
      </c>
      <c r="K38" s="202">
        <v>0</v>
      </c>
      <c r="L38" s="202">
        <v>0</v>
      </c>
      <c r="M38" s="203">
        <v>0</v>
      </c>
      <c r="N38" s="211">
        <f>IFERROR(VLOOKUP($C38,'Indicadores Financeiros'!$A$96:$Z$109,10,FALSE),0)</f>
        <v>206.06</v>
      </c>
      <c r="O38" s="203">
        <f>IF(H38&lt;&gt;0,ROUND(IFERROR(VLOOKUP($C38,'Indicadores Financeiros'!$A$96:$H$109,6,FALSE),0)/220*IF($E38="Plantão - Sábado",1.5,2),2),0)</f>
        <v>0</v>
      </c>
      <c r="P38" s="203">
        <f t="shared" si="3"/>
        <v>1236.3799999999999</v>
      </c>
      <c r="Q38" s="203">
        <f>IF(E38="Posto",ROUND('Indicadores Financeiros'!$J$63*P38,2),ROUND('Indicadores Financeiros'!$J$63*O38,2)*H38)</f>
        <v>963.34</v>
      </c>
      <c r="R38" s="203">
        <f>IF(E38="Posto",IF(OR($C38=11,$C38=12),'Indicadores Financeiros'!$J$114,'Indicadores Financeiros'!$G$114),0)</f>
        <v>35.33</v>
      </c>
      <c r="S38" s="203">
        <f>IF(E38="Posto",IF(OR($C38=11,$C38=12),'Indicadores Financeiros'!$J$115,'Indicadores Financeiros'!$G$115),0)</f>
        <v>23.29</v>
      </c>
      <c r="T38" s="203">
        <f>IF($E38="Posto",IF(OR($C38=11,$C38=12),'Indicadores Financeiros'!$J$116,'Indicadores Financeiros'!$G$116),0)</f>
        <v>15.96</v>
      </c>
      <c r="U38" s="203">
        <f>IF($E38="Posto",IF(OR($C38=11,$C38=12),'Indicadores Financeiros'!$J$117,'Indicadores Financeiros'!$G$117),0)</f>
        <v>0</v>
      </c>
      <c r="V38" s="203">
        <f>IF(E38="Posto",IF(OR($C38=11,$C38=12),'Indicadores Financeiros'!$J$118,'Indicadores Financeiros'!$G$118),0)</f>
        <v>144.68</v>
      </c>
      <c r="W38" s="203">
        <f>IF(E38="Posto",IF(OR($C38=11,$C38=12),'Indicadores Financeiros'!$J$119,'Indicadores Financeiros'!$G$119),0)</f>
        <v>1.73</v>
      </c>
      <c r="X38" s="203">
        <f>IF(E38="Posto",IF(OR($C38=11,$C38=12),'Indicadores Financeiros'!$J$120,'Indicadores Financeiros'!$G$120),0)</f>
        <v>7.6</v>
      </c>
      <c r="Y38" s="203">
        <f>IF(E38="Posto",IF(OR($C38=11,$C38=12),'Indicadores Financeiros'!$J$121,'Indicadores Financeiros'!$G$121),0)</f>
        <v>0</v>
      </c>
      <c r="Z38" s="203">
        <f>IF(OR(A38=690002,A38=690016,A38=690035,A38=690038,A38=690064),0,IF(E38&lt;&gt;"M2",ROUND(IF(OR($C38=11,$C38=12),'Indicadores Financeiros'!$J$122,'Indicadores Financeiros'!$G$122)*$G38,2),0))</f>
        <v>0</v>
      </c>
      <c r="AA38" s="203">
        <f>IF(E38="Posto",ROUND(IF(OR($C38=11,$C38=12),'Indicadores Financeiros'!$J$123*G38,'Indicadores Financeiros'!$G$123*G38) + IF(OR($C38=11,$C38=12),'Indicadores Financeiros'!$J$124,'Indicadores Financeiros'!$G$124),2),0)</f>
        <v>0</v>
      </c>
      <c r="AB38" s="204">
        <f t="shared" si="0"/>
        <v>228.59</v>
      </c>
      <c r="AC38" s="203">
        <f>IF(E38&lt;&gt;"M2",IF((J38*6%)&gt;=(VLOOKUP($B$1,'Indicadores Financeiros'!$C$145:$J$208,7,FALSE)*G38),0,ROUND((VLOOKUP($B$1,'Indicadores Financeiros'!$C$145:$J$208,7,FALSE)*G38),2)-ROUND($J38*6%,2)),0)</f>
        <v>168.76000000000002</v>
      </c>
      <c r="AD38" s="201">
        <f>IF(E38="Posto",IFERROR(VLOOKUP($C38,'Indicadores Financeiros'!$A$128:$M$141,9,FALSE),0),0)</f>
        <v>62.81</v>
      </c>
      <c r="AE38" s="205">
        <f>IF(E38="Posto",IFERROR(VLOOKUP($C38,'Indicadores Financeiros'!$A$128:$M$141,10,FALSE),0),0)</f>
        <v>0.12</v>
      </c>
      <c r="AF38" s="206">
        <f t="shared" si="1"/>
        <v>362.71</v>
      </c>
      <c r="AG38" s="207">
        <f t="shared" si="2"/>
        <v>3022.59</v>
      </c>
      <c r="AH38" s="208">
        <f>IFERROR(VLOOKUP($B$1,'Indicadores Financeiros'!$C$145:$J$306,6,FALSE),0)</f>
        <v>0.27810000000000001</v>
      </c>
      <c r="AI38" s="209">
        <f t="shared" si="4"/>
        <v>840.58</v>
      </c>
      <c r="AJ38" s="210">
        <f t="shared" si="5"/>
        <v>3863.17</v>
      </c>
      <c r="AK38" s="234"/>
      <c r="AL38" s="222"/>
      <c r="AM38" s="219"/>
      <c r="AN38" s="222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</row>
    <row r="39" spans="1:101" x14ac:dyDescent="0.25">
      <c r="A39" s="200">
        <v>690065</v>
      </c>
      <c r="B39" s="199" t="s">
        <v>344</v>
      </c>
      <c r="C39" s="200">
        <v>1</v>
      </c>
      <c r="D39" s="199" t="str">
        <f>IFERROR(VLOOKUP(C39,'Indicadores Financeiros'!$A$96:$H$109,2,FALSE),"Não se aplica")</f>
        <v>Auxiliar de Limpeza - 44 horas Semanais</v>
      </c>
      <c r="E39" s="199" t="s">
        <v>323</v>
      </c>
      <c r="F39" s="199" t="s">
        <v>233</v>
      </c>
      <c r="G39" s="201">
        <v>5</v>
      </c>
      <c r="H39" s="201">
        <f>8*G39</f>
        <v>40</v>
      </c>
      <c r="I39" s="201">
        <f>IFERROR(VLOOKUP(#REF!,'Indicadores Financeiros'!$A$90:$J$92,10,FALSE),0)</f>
        <v>0</v>
      </c>
      <c r="J39" s="201">
        <f>IF(E39="Posto",IFERROR(VLOOKUP($C39,'Indicadores Financeiros'!$A$96:$H$109,6,FALSE),0),0)</f>
        <v>0</v>
      </c>
      <c r="K39" s="202"/>
      <c r="L39" s="202"/>
      <c r="M39" s="203"/>
      <c r="N39" s="211"/>
      <c r="O39" s="203">
        <f>IF(H39&lt;&gt;0,ROUND(IFERROR(VLOOKUP($C39,'Indicadores Financeiros'!$A$96:$H$109,6,FALSE),0)/220*IF($E39="Plantão - Sábado",1.5,2),2),0)</f>
        <v>11.71</v>
      </c>
      <c r="P39" s="203">
        <f>IF(E39="Posto",SUM(J39:N39),O39*H39)</f>
        <v>468.40000000000003</v>
      </c>
      <c r="Q39" s="203">
        <f>IF(E39="Posto",ROUND('Indicadores Financeiros'!$J$63*P39,2),ROUND('Indicadores Financeiros'!$J$63*O39,2)*H39)</f>
        <v>364.79999999999995</v>
      </c>
      <c r="R39" s="203">
        <f>IF(E39="Posto",IF(OR($C39=11,$C39=12),'Indicadores Financeiros'!$J$114,'Indicadores Financeiros'!$G$114),0)</f>
        <v>0</v>
      </c>
      <c r="S39" s="203">
        <f>IF(E39="Posto",IF(OR($C39=11,$C39=12),'Indicadores Financeiros'!$J$115,'Indicadores Financeiros'!$G$115),0)</f>
        <v>0</v>
      </c>
      <c r="T39" s="203">
        <f>IF($E39="Posto",IF(OR($C39=11,$C39=12),'Indicadores Financeiros'!$J$116,'Indicadores Financeiros'!$G$116),0)</f>
        <v>0</v>
      </c>
      <c r="U39" s="203">
        <f>IF($E39="Posto",IF(OR($C39=11,$C39=12),'Indicadores Financeiros'!$J$117,'Indicadores Financeiros'!$G$117),0)</f>
        <v>0</v>
      </c>
      <c r="V39" s="203">
        <f>IF(E39="Posto",IF(OR($C39=11,$C39=12),'Indicadores Financeiros'!$J$118,'Indicadores Financeiros'!$G$118),0)</f>
        <v>0</v>
      </c>
      <c r="W39" s="203">
        <f>IF(E39="Posto",IF(OR($C39=11,$C39=12),'Indicadores Financeiros'!$J$119,'Indicadores Financeiros'!$G$119),0)</f>
        <v>0</v>
      </c>
      <c r="X39" s="203">
        <f>IF(E39="Posto",IF(OR($C39=11,$C39=12),'Indicadores Financeiros'!$J$120,'Indicadores Financeiros'!$G$120),0)</f>
        <v>0</v>
      </c>
      <c r="Y39" s="203">
        <f>IF(E39="Posto",IF(OR($C39=11,$C39=12),'Indicadores Financeiros'!$J$121,'Indicadores Financeiros'!$G$121),0)</f>
        <v>0</v>
      </c>
      <c r="Z39" s="203">
        <f>IF(OR(A39=690002,A39=690016,A39=690035,A39=690038,A39=690064),0,IF(E39&lt;&gt;"M2",ROUND(IF(OR($C39=11,$C39=12),'Indicadores Financeiros'!$J$122,'Indicadores Financeiros'!$G$122)*$G39,2),0))</f>
        <v>96.85</v>
      </c>
      <c r="AA39" s="203">
        <f>IF(E39="Posto",ROUND(IF(OR($C39=11,$C39=12),'Indicadores Financeiros'!$J$123*G39,'Indicadores Financeiros'!$G$123*G39) + IF(OR($C39=11,$C39=12),'Indicadores Financeiros'!$J$124,'Indicadores Financeiros'!$G$124),2),0)</f>
        <v>0</v>
      </c>
      <c r="AB39" s="204">
        <f t="shared" si="0"/>
        <v>96.85</v>
      </c>
      <c r="AC39" s="203">
        <f>IF(E39&lt;&gt;"M2",IF((J39*6%)&gt;=(VLOOKUP($B$1,'Indicadores Financeiros'!$C$145:$J$208,7,FALSE)*G39),0,ROUND((VLOOKUP($B$1,'Indicadores Financeiros'!$C$145:$J$208,7,FALSE)*G39),2)-ROUND($J39*6%,2)),0)</f>
        <v>54.9</v>
      </c>
      <c r="AD39" s="201">
        <f>IF(E39="Posto",IFERROR(VLOOKUP($C39,'Indicadores Financeiros'!$A$128:$M$141,9,FALSE),0),0)</f>
        <v>0</v>
      </c>
      <c r="AE39" s="205">
        <f>IF(E39="Posto",IFERROR(VLOOKUP($C39,'Indicadores Financeiros'!$A$128:$M$141,10,FALSE),0),0)</f>
        <v>0</v>
      </c>
      <c r="AF39" s="206">
        <f t="shared" si="1"/>
        <v>0</v>
      </c>
      <c r="AG39" s="207">
        <f t="shared" si="2"/>
        <v>984.95</v>
      </c>
      <c r="AH39" s="208">
        <f>IFERROR(VLOOKUP($B$1,'Indicadores Financeiros'!$C$145:$J$306,6,FALSE),0)</f>
        <v>0.27810000000000001</v>
      </c>
      <c r="AI39" s="209">
        <f>ROUND(AG39*AH39,2)</f>
        <v>273.91000000000003</v>
      </c>
      <c r="AJ39" s="210">
        <f>ROUND(AG39+AI39,2)</f>
        <v>1258.8599999999999</v>
      </c>
      <c r="AK39" s="234"/>
      <c r="AL39" s="222"/>
      <c r="AM39" s="219"/>
      <c r="AN39" s="222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BD39" s="219"/>
      <c r="BE39" s="219"/>
      <c r="BF39" s="219"/>
      <c r="BG39" s="219"/>
      <c r="BH39" s="219"/>
      <c r="BI39" s="219"/>
      <c r="BJ39" s="219"/>
      <c r="BK39" s="219"/>
      <c r="BL39" s="219"/>
      <c r="BM39" s="219"/>
      <c r="BN39" s="219"/>
      <c r="BO39" s="219"/>
      <c r="BP39" s="219"/>
      <c r="BQ39" s="219"/>
      <c r="BR39" s="219"/>
      <c r="BS39" s="219"/>
      <c r="BT39" s="219"/>
      <c r="BU39" s="219"/>
      <c r="BV39" s="219"/>
      <c r="BW39" s="219"/>
      <c r="BX39" s="219"/>
      <c r="BY39" s="219"/>
      <c r="BZ39" s="219"/>
      <c r="CA39" s="219"/>
      <c r="CB39" s="219"/>
      <c r="CC39" s="219"/>
      <c r="CD39" s="219"/>
      <c r="CE39" s="219"/>
      <c r="CF39" s="219"/>
      <c r="CG39" s="219"/>
      <c r="CH39" s="219"/>
      <c r="CI39" s="219"/>
      <c r="CJ39" s="219"/>
      <c r="CK39" s="219"/>
      <c r="CL39" s="219"/>
      <c r="CM39" s="219"/>
      <c r="CN39" s="219"/>
      <c r="CO39" s="219"/>
      <c r="CP39" s="219"/>
      <c r="CQ39" s="219"/>
      <c r="CR39" s="219"/>
      <c r="CS39" s="219"/>
      <c r="CT39" s="219"/>
      <c r="CU39" s="219"/>
      <c r="CV39" s="219"/>
      <c r="CW39" s="219"/>
    </row>
    <row r="40" spans="1:101" ht="25.5" x14ac:dyDescent="0.25">
      <c r="A40" s="200">
        <v>690066</v>
      </c>
      <c r="B40" s="199" t="s">
        <v>345</v>
      </c>
      <c r="C40" s="200">
        <v>1</v>
      </c>
      <c r="D40" s="199" t="str">
        <f>IFERROR(VLOOKUP(C40,'Indicadores Financeiros'!$A$96:$H$109,2,FALSE),"Não se aplica")</f>
        <v>Auxiliar de Limpeza - 44 horas Semanais</v>
      </c>
      <c r="E40" s="199" t="s">
        <v>310</v>
      </c>
      <c r="F40" s="199" t="s">
        <v>233</v>
      </c>
      <c r="G40" s="201">
        <v>5</v>
      </c>
      <c r="H40" s="201">
        <f>8*G40</f>
        <v>40</v>
      </c>
      <c r="I40" s="201">
        <f>IFERROR(VLOOKUP(#REF!,'Indicadores Financeiros'!$A$90:$J$92,10,FALSE),0)</f>
        <v>0</v>
      </c>
      <c r="J40" s="201">
        <f>IF(E40="Posto",IFERROR(VLOOKUP($C40,'Indicadores Financeiros'!$A$96:$H$109,6,FALSE),0),0)</f>
        <v>0</v>
      </c>
      <c r="K40" s="202"/>
      <c r="L40" s="202"/>
      <c r="M40" s="203"/>
      <c r="N40" s="211"/>
      <c r="O40" s="203">
        <f>IF(H40&lt;&gt;0,ROUND(IFERROR(VLOOKUP($C40,'Indicadores Financeiros'!$A$96:$H$109,6,FALSE),0)/220*IF($E40="Plantão - Sábado",1.5,2),2),0)</f>
        <v>15.61</v>
      </c>
      <c r="P40" s="203">
        <f>IF(E40="Posto",SUM(J40:N40),O40*H40)</f>
        <v>624.4</v>
      </c>
      <c r="Q40" s="203">
        <f>IF(E40="Posto",ROUND('Indicadores Financeiros'!$J$63*P40,2),ROUND('Indicadores Financeiros'!$J$63*O40,2)*H40)</f>
        <v>486.4</v>
      </c>
      <c r="R40" s="203">
        <f>IF(E40="Posto",IF(OR($C40=11,$C40=12),'Indicadores Financeiros'!$J$114,'Indicadores Financeiros'!$G$114),0)</f>
        <v>0</v>
      </c>
      <c r="S40" s="203">
        <f>IF(E40="Posto",IF(OR($C40=11,$C40=12),'Indicadores Financeiros'!$J$115,'Indicadores Financeiros'!$G$115),0)</f>
        <v>0</v>
      </c>
      <c r="T40" s="203">
        <f>IF($E40="Posto",IF(OR($C40=11,$C40=12),'Indicadores Financeiros'!$J$116,'Indicadores Financeiros'!$G$116),0)</f>
        <v>0</v>
      </c>
      <c r="U40" s="203">
        <f>IF($E40="Posto",IF(OR($C40=11,$C40=12),'Indicadores Financeiros'!$J$117,'Indicadores Financeiros'!$G$117),0)</f>
        <v>0</v>
      </c>
      <c r="V40" s="203">
        <f>IF(E40="Posto",IF(OR($C40=11,$C40=12),'Indicadores Financeiros'!$J$118,'Indicadores Financeiros'!$G$118),0)</f>
        <v>0</v>
      </c>
      <c r="W40" s="203">
        <f>IF(E40="Posto",IF(OR($C40=11,$C40=12),'Indicadores Financeiros'!$J$119,'Indicadores Financeiros'!$G$119),0)</f>
        <v>0</v>
      </c>
      <c r="X40" s="203">
        <f>IF(E40="Posto",IF(OR($C40=11,$C40=12),'Indicadores Financeiros'!$J$120,'Indicadores Financeiros'!$G$120),0)</f>
        <v>0</v>
      </c>
      <c r="Y40" s="203">
        <f>IF(E40="Posto",IF(OR($C40=11,$C40=12),'Indicadores Financeiros'!$J$121,'Indicadores Financeiros'!$G$121),0)</f>
        <v>0</v>
      </c>
      <c r="Z40" s="203">
        <f>IF(OR(A40=690002,A40=690016,A40=690035,A40=690038,A40=690064),0,IF(E40&lt;&gt;"M2",ROUND(IF(OR($C40=11,$C40=12),'Indicadores Financeiros'!$J$122,'Indicadores Financeiros'!$G$122)*$G40,2),0))</f>
        <v>96.85</v>
      </c>
      <c r="AA40" s="203">
        <f>IF(E40="Posto",ROUND(IF(OR($C40=11,$C40=12),'Indicadores Financeiros'!$J$123*G40,'Indicadores Financeiros'!$G$123*G40) + IF(OR($C40=11,$C40=12),'Indicadores Financeiros'!$J$124,'Indicadores Financeiros'!$G$124),2),0)</f>
        <v>0</v>
      </c>
      <c r="AB40" s="204">
        <f t="shared" si="0"/>
        <v>96.85</v>
      </c>
      <c r="AC40" s="203">
        <f>IF(E40&lt;&gt;"M2",IF((J40*6%)&gt;=(VLOOKUP($B$1,'Indicadores Financeiros'!$C$145:$J$208,7,FALSE)*G40),0,ROUND((VLOOKUP($B$1,'Indicadores Financeiros'!$C$145:$J$208,7,FALSE)*G40),2)-ROUND($J40*6%,2)),0)</f>
        <v>54.9</v>
      </c>
      <c r="AD40" s="201">
        <f>IF(E40="Posto",IFERROR(VLOOKUP($C40,'Indicadores Financeiros'!$A$128:$M$141,9,FALSE),0),0)</f>
        <v>0</v>
      </c>
      <c r="AE40" s="205">
        <f>IF(E40="Posto",IFERROR(VLOOKUP($C40,'Indicadores Financeiros'!$A$128:$M$141,10,FALSE),0),0)</f>
        <v>0</v>
      </c>
      <c r="AF40" s="206">
        <f t="shared" si="1"/>
        <v>0</v>
      </c>
      <c r="AG40" s="207">
        <f t="shared" si="2"/>
        <v>1262.55</v>
      </c>
      <c r="AH40" s="208">
        <f>IFERROR(VLOOKUP($B$1,'Indicadores Financeiros'!$C$145:$J$306,6,FALSE),0)</f>
        <v>0.27810000000000001</v>
      </c>
      <c r="AI40" s="209">
        <f>ROUND(AG40*AH40,2)</f>
        <v>351.12</v>
      </c>
      <c r="AJ40" s="210">
        <f>ROUND(AG40+AI40,2)</f>
        <v>1613.67</v>
      </c>
      <c r="AK40" s="234"/>
      <c r="AL40" s="222"/>
      <c r="AM40" s="219"/>
      <c r="AN40" s="222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</row>
    <row r="41" spans="1:101" s="213" customFormat="1" x14ac:dyDescent="0.25">
      <c r="A41" s="212"/>
      <c r="C41" s="212"/>
      <c r="K41" s="212"/>
      <c r="L41" s="212"/>
      <c r="M41" s="212"/>
      <c r="R41" s="214"/>
      <c r="AB41" s="215"/>
      <c r="AG41" s="215"/>
      <c r="AJ41" s="215"/>
    </row>
    <row r="42" spans="1:101" s="213" customFormat="1" x14ac:dyDescent="0.25">
      <c r="A42" s="212"/>
      <c r="C42" s="212"/>
      <c r="K42" s="212"/>
      <c r="L42" s="212"/>
      <c r="M42" s="212"/>
      <c r="Q42" s="233"/>
      <c r="R42" s="214"/>
      <c r="AB42" s="215"/>
      <c r="AG42" s="215"/>
      <c r="AJ42" s="215"/>
    </row>
    <row r="43" spans="1:101" s="213" customFormat="1" x14ac:dyDescent="0.25">
      <c r="A43" s="212"/>
      <c r="C43" s="212"/>
      <c r="K43" s="212"/>
      <c r="L43" s="212"/>
      <c r="M43" s="212"/>
      <c r="Q43" s="216"/>
      <c r="R43" s="214"/>
      <c r="AB43" s="215"/>
      <c r="AG43" s="215"/>
      <c r="AJ43" s="215"/>
    </row>
    <row r="44" spans="1:101" s="213" customFormat="1" x14ac:dyDescent="0.25">
      <c r="A44" s="212"/>
      <c r="C44" s="212"/>
      <c r="K44" s="212"/>
      <c r="L44" s="212"/>
      <c r="M44" s="212"/>
      <c r="R44" s="214"/>
      <c r="AB44" s="215"/>
      <c r="AG44" s="215"/>
      <c r="AJ44" s="215"/>
    </row>
    <row r="45" spans="1:101" s="213" customFormat="1" x14ac:dyDescent="0.25">
      <c r="A45" s="212"/>
      <c r="C45" s="212"/>
      <c r="K45" s="212"/>
      <c r="L45" s="212"/>
      <c r="M45" s="212"/>
      <c r="Q45" s="216"/>
      <c r="R45" s="214"/>
      <c r="AB45" s="215"/>
      <c r="AG45" s="215"/>
      <c r="AJ45" s="215"/>
    </row>
    <row r="46" spans="1:101" s="213" customFormat="1" x14ac:dyDescent="0.25">
      <c r="A46" s="212"/>
      <c r="C46" s="212"/>
      <c r="K46" s="212"/>
      <c r="L46" s="212"/>
      <c r="M46" s="212"/>
      <c r="Q46" s="216"/>
      <c r="R46" s="214"/>
      <c r="AB46" s="215"/>
      <c r="AG46" s="215"/>
      <c r="AJ46" s="215"/>
    </row>
    <row r="47" spans="1:101" s="213" customFormat="1" x14ac:dyDescent="0.25">
      <c r="A47" s="212"/>
      <c r="C47" s="212"/>
      <c r="K47" s="212"/>
      <c r="L47" s="212"/>
      <c r="M47" s="212"/>
      <c r="R47" s="214"/>
      <c r="AB47" s="215"/>
      <c r="AG47" s="215"/>
      <c r="AJ47" s="215"/>
    </row>
    <row r="48" spans="1:101" s="213" customFormat="1" x14ac:dyDescent="0.25">
      <c r="A48" s="212"/>
      <c r="C48" s="212"/>
      <c r="K48" s="212"/>
      <c r="L48" s="212"/>
      <c r="M48" s="212"/>
      <c r="R48" s="214"/>
      <c r="AB48" s="215"/>
      <c r="AG48" s="215"/>
      <c r="AJ48" s="215"/>
    </row>
    <row r="49" spans="1:36" s="213" customFormat="1" x14ac:dyDescent="0.25">
      <c r="A49" s="212"/>
      <c r="C49" s="212"/>
      <c r="K49" s="212"/>
      <c r="L49" s="212"/>
      <c r="M49" s="212"/>
      <c r="R49" s="214"/>
      <c r="AB49" s="215"/>
      <c r="AG49" s="215"/>
      <c r="AJ49" s="215"/>
    </row>
    <row r="50" spans="1:36" s="213" customFormat="1" x14ac:dyDescent="0.25">
      <c r="A50" s="212"/>
      <c r="C50" s="212"/>
      <c r="K50" s="212"/>
      <c r="L50" s="212"/>
      <c r="M50" s="212"/>
      <c r="R50" s="214"/>
      <c r="AB50" s="215"/>
      <c r="AG50" s="215"/>
      <c r="AJ50" s="215"/>
    </row>
    <row r="51" spans="1:36" s="213" customFormat="1" x14ac:dyDescent="0.25">
      <c r="A51" s="212"/>
      <c r="C51" s="212"/>
      <c r="K51" s="212"/>
      <c r="L51" s="212"/>
      <c r="M51" s="212"/>
      <c r="R51" s="214"/>
      <c r="AB51" s="215"/>
      <c r="AG51" s="215"/>
      <c r="AJ51" s="215"/>
    </row>
    <row r="52" spans="1:36" s="213" customFormat="1" x14ac:dyDescent="0.25">
      <c r="A52" s="212"/>
      <c r="C52" s="212"/>
      <c r="K52" s="212"/>
      <c r="L52" s="212"/>
      <c r="M52" s="212"/>
      <c r="R52" s="214"/>
      <c r="AB52" s="215"/>
      <c r="AG52" s="215"/>
      <c r="AJ52" s="215"/>
    </row>
    <row r="53" spans="1:36" s="213" customFormat="1" x14ac:dyDescent="0.25">
      <c r="A53" s="212"/>
      <c r="C53" s="212"/>
      <c r="K53" s="212"/>
      <c r="L53" s="212"/>
      <c r="M53" s="212"/>
      <c r="R53" s="214"/>
      <c r="AB53" s="215"/>
      <c r="AG53" s="215"/>
      <c r="AJ53" s="215"/>
    </row>
    <row r="54" spans="1:36" s="213" customFormat="1" x14ac:dyDescent="0.25">
      <c r="A54" s="212"/>
      <c r="C54" s="212"/>
      <c r="K54" s="212"/>
      <c r="L54" s="212"/>
      <c r="M54" s="212"/>
      <c r="R54" s="214"/>
      <c r="AB54" s="215"/>
      <c r="AG54" s="215"/>
      <c r="AJ54" s="215"/>
    </row>
    <row r="55" spans="1:36" s="213" customFormat="1" x14ac:dyDescent="0.25">
      <c r="A55" s="212"/>
      <c r="C55" s="212"/>
      <c r="K55" s="212"/>
      <c r="L55" s="212"/>
      <c r="M55" s="212"/>
      <c r="R55" s="214"/>
      <c r="AB55" s="215"/>
      <c r="AG55" s="215"/>
      <c r="AJ55" s="215"/>
    </row>
    <row r="56" spans="1:36" s="213" customFormat="1" x14ac:dyDescent="0.25">
      <c r="A56" s="212"/>
      <c r="C56" s="212"/>
      <c r="K56" s="212"/>
      <c r="L56" s="212"/>
      <c r="M56" s="212"/>
      <c r="R56" s="214"/>
      <c r="AB56" s="215"/>
      <c r="AG56" s="215"/>
      <c r="AJ56" s="215"/>
    </row>
    <row r="57" spans="1:36" s="213" customFormat="1" x14ac:dyDescent="0.25">
      <c r="A57" s="212"/>
      <c r="C57" s="212"/>
      <c r="K57" s="212"/>
      <c r="L57" s="212"/>
      <c r="M57" s="212"/>
      <c r="R57" s="214"/>
      <c r="AB57" s="215"/>
      <c r="AG57" s="215"/>
      <c r="AJ57" s="215"/>
    </row>
    <row r="58" spans="1:36" s="213" customFormat="1" x14ac:dyDescent="0.25">
      <c r="A58" s="212"/>
      <c r="C58" s="212"/>
      <c r="K58" s="212"/>
      <c r="L58" s="212"/>
      <c r="M58" s="212"/>
      <c r="R58" s="214"/>
      <c r="AB58" s="215"/>
      <c r="AG58" s="215"/>
      <c r="AJ58" s="215"/>
    </row>
    <row r="59" spans="1:36" s="213" customFormat="1" x14ac:dyDescent="0.25">
      <c r="A59" s="212"/>
      <c r="C59" s="212"/>
      <c r="K59" s="212"/>
      <c r="L59" s="212"/>
      <c r="M59" s="212"/>
      <c r="R59" s="214"/>
      <c r="AB59" s="215"/>
      <c r="AG59" s="215"/>
      <c r="AJ59" s="215"/>
    </row>
    <row r="60" spans="1:36" s="213" customFormat="1" x14ac:dyDescent="0.25">
      <c r="A60" s="212"/>
      <c r="C60" s="212"/>
      <c r="K60" s="212"/>
      <c r="L60" s="212"/>
      <c r="M60" s="212"/>
      <c r="R60" s="214"/>
      <c r="AB60" s="215"/>
      <c r="AG60" s="215"/>
      <c r="AJ60" s="215"/>
    </row>
    <row r="61" spans="1:36" s="213" customFormat="1" x14ac:dyDescent="0.25">
      <c r="A61" s="212"/>
      <c r="C61" s="212"/>
      <c r="K61" s="212"/>
      <c r="L61" s="212"/>
      <c r="M61" s="212"/>
      <c r="R61" s="214"/>
      <c r="AB61" s="215"/>
      <c r="AG61" s="215"/>
      <c r="AJ61" s="215"/>
    </row>
    <row r="62" spans="1:36" s="213" customFormat="1" x14ac:dyDescent="0.25">
      <c r="A62" s="212"/>
      <c r="C62" s="212"/>
      <c r="K62" s="212"/>
      <c r="L62" s="212"/>
      <c r="M62" s="212"/>
      <c r="R62" s="214"/>
      <c r="AB62" s="215"/>
      <c r="AG62" s="215"/>
      <c r="AJ62" s="215"/>
    </row>
    <row r="63" spans="1:36" s="213" customFormat="1" x14ac:dyDescent="0.25">
      <c r="A63" s="212"/>
      <c r="C63" s="212"/>
      <c r="K63" s="212"/>
      <c r="L63" s="212"/>
      <c r="M63" s="212"/>
      <c r="R63" s="214"/>
      <c r="AB63" s="215"/>
      <c r="AG63" s="215"/>
      <c r="AJ63" s="215"/>
    </row>
    <row r="64" spans="1:36" s="213" customFormat="1" x14ac:dyDescent="0.25">
      <c r="A64" s="212"/>
      <c r="C64" s="212"/>
      <c r="K64" s="212"/>
      <c r="L64" s="212"/>
      <c r="M64" s="212"/>
      <c r="R64" s="214"/>
      <c r="AB64" s="215"/>
      <c r="AG64" s="215"/>
      <c r="AJ64" s="215"/>
    </row>
    <row r="65" spans="1:36" s="213" customFormat="1" x14ac:dyDescent="0.25">
      <c r="A65" s="212"/>
      <c r="C65" s="212"/>
      <c r="K65" s="212"/>
      <c r="L65" s="212"/>
      <c r="M65" s="212"/>
      <c r="R65" s="214"/>
      <c r="AB65" s="215"/>
      <c r="AG65" s="215"/>
      <c r="AJ65" s="215"/>
    </row>
    <row r="66" spans="1:36" s="213" customFormat="1" x14ac:dyDescent="0.25">
      <c r="A66" s="212"/>
      <c r="C66" s="212"/>
      <c r="K66" s="212"/>
      <c r="L66" s="212"/>
      <c r="M66" s="212"/>
      <c r="R66" s="214"/>
      <c r="AB66" s="215"/>
      <c r="AG66" s="215"/>
      <c r="AJ66" s="215"/>
    </row>
    <row r="67" spans="1:36" s="213" customFormat="1" x14ac:dyDescent="0.25">
      <c r="A67" s="212"/>
      <c r="C67" s="212"/>
      <c r="K67" s="212"/>
      <c r="L67" s="212"/>
      <c r="M67" s="212"/>
      <c r="R67" s="214"/>
      <c r="AB67" s="215"/>
      <c r="AG67" s="215"/>
      <c r="AJ67" s="215"/>
    </row>
    <row r="68" spans="1:36" s="213" customFormat="1" x14ac:dyDescent="0.25">
      <c r="A68" s="212"/>
      <c r="C68" s="212"/>
      <c r="K68" s="212"/>
      <c r="L68" s="212"/>
      <c r="M68" s="212"/>
      <c r="R68" s="214"/>
      <c r="AB68" s="215"/>
      <c r="AG68" s="215"/>
      <c r="AJ68" s="215"/>
    </row>
    <row r="69" spans="1:36" s="213" customFormat="1" x14ac:dyDescent="0.25">
      <c r="A69" s="212"/>
      <c r="C69" s="212"/>
      <c r="K69" s="212"/>
      <c r="L69" s="212"/>
      <c r="M69" s="212"/>
      <c r="R69" s="214"/>
      <c r="AB69" s="215"/>
      <c r="AG69" s="215"/>
      <c r="AJ69" s="215"/>
    </row>
    <row r="70" spans="1:36" s="213" customFormat="1" x14ac:dyDescent="0.25">
      <c r="A70" s="212"/>
      <c r="C70" s="212"/>
      <c r="K70" s="212"/>
      <c r="L70" s="212"/>
      <c r="M70" s="212"/>
      <c r="R70" s="214"/>
      <c r="AB70" s="215"/>
      <c r="AG70" s="215"/>
      <c r="AJ70" s="215"/>
    </row>
    <row r="71" spans="1:36" s="213" customFormat="1" x14ac:dyDescent="0.25">
      <c r="A71" s="212"/>
      <c r="C71" s="212"/>
      <c r="K71" s="212"/>
      <c r="L71" s="212"/>
      <c r="M71" s="212"/>
      <c r="R71" s="214"/>
      <c r="AB71" s="215"/>
      <c r="AG71" s="215"/>
      <c r="AJ71" s="215"/>
    </row>
    <row r="72" spans="1:36" s="213" customFormat="1" x14ac:dyDescent="0.25">
      <c r="A72" s="212"/>
      <c r="C72" s="212"/>
      <c r="K72" s="212"/>
      <c r="L72" s="212"/>
      <c r="M72" s="212"/>
      <c r="R72" s="214"/>
      <c r="AB72" s="215"/>
      <c r="AG72" s="215"/>
      <c r="AJ72" s="215"/>
    </row>
    <row r="73" spans="1:36" s="213" customFormat="1" x14ac:dyDescent="0.25">
      <c r="A73" s="212"/>
      <c r="C73" s="212"/>
      <c r="K73" s="212"/>
      <c r="L73" s="212"/>
      <c r="M73" s="212"/>
      <c r="R73" s="214"/>
      <c r="AB73" s="215"/>
      <c r="AG73" s="215"/>
      <c r="AJ73" s="215"/>
    </row>
    <row r="74" spans="1:36" s="213" customFormat="1" x14ac:dyDescent="0.25">
      <c r="A74" s="212"/>
      <c r="C74" s="212"/>
      <c r="K74" s="212"/>
      <c r="L74" s="212"/>
      <c r="M74" s="212"/>
      <c r="R74" s="214"/>
      <c r="AB74" s="215"/>
      <c r="AG74" s="215"/>
      <c r="AJ74" s="215"/>
    </row>
    <row r="75" spans="1:36" s="213" customFormat="1" x14ac:dyDescent="0.25">
      <c r="A75" s="212"/>
      <c r="C75" s="212"/>
      <c r="K75" s="212"/>
      <c r="L75" s="212"/>
      <c r="M75" s="212"/>
      <c r="R75" s="214"/>
      <c r="AB75" s="215"/>
      <c r="AG75" s="215"/>
      <c r="AJ75" s="215"/>
    </row>
    <row r="76" spans="1:36" s="213" customFormat="1" x14ac:dyDescent="0.25">
      <c r="A76" s="212"/>
      <c r="C76" s="212"/>
      <c r="K76" s="212"/>
      <c r="L76" s="212"/>
      <c r="M76" s="212"/>
      <c r="R76" s="214"/>
      <c r="AB76" s="215"/>
      <c r="AG76" s="215"/>
      <c r="AJ76" s="215"/>
    </row>
    <row r="77" spans="1:36" s="213" customFormat="1" x14ac:dyDescent="0.25">
      <c r="A77" s="212"/>
      <c r="C77" s="212"/>
      <c r="K77" s="212"/>
      <c r="L77" s="212"/>
      <c r="M77" s="212"/>
      <c r="R77" s="214"/>
      <c r="AB77" s="215"/>
      <c r="AG77" s="215"/>
      <c r="AJ77" s="215"/>
    </row>
    <row r="78" spans="1:36" s="213" customFormat="1" x14ac:dyDescent="0.25">
      <c r="A78" s="212"/>
      <c r="C78" s="212"/>
      <c r="K78" s="212"/>
      <c r="L78" s="212"/>
      <c r="M78" s="212"/>
      <c r="R78" s="214"/>
      <c r="AB78" s="215"/>
      <c r="AG78" s="215"/>
      <c r="AJ78" s="215"/>
    </row>
    <row r="79" spans="1:36" s="213" customFormat="1" x14ac:dyDescent="0.25">
      <c r="A79" s="212"/>
      <c r="C79" s="212"/>
      <c r="K79" s="212"/>
      <c r="L79" s="212"/>
      <c r="M79" s="212"/>
      <c r="R79" s="214"/>
      <c r="AB79" s="215"/>
      <c r="AG79" s="215"/>
      <c r="AJ79" s="215"/>
    </row>
    <row r="80" spans="1:36" s="213" customFormat="1" x14ac:dyDescent="0.25">
      <c r="A80" s="212"/>
      <c r="C80" s="212"/>
      <c r="K80" s="212"/>
      <c r="L80" s="212"/>
      <c r="M80" s="212"/>
      <c r="R80" s="214"/>
      <c r="AB80" s="215"/>
      <c r="AG80" s="215"/>
      <c r="AJ80" s="215"/>
    </row>
    <row r="81" spans="1:36" s="213" customFormat="1" x14ac:dyDescent="0.25">
      <c r="A81" s="212"/>
      <c r="C81" s="212"/>
      <c r="K81" s="212"/>
      <c r="L81" s="212"/>
      <c r="M81" s="212"/>
      <c r="R81" s="214"/>
      <c r="AB81" s="215"/>
      <c r="AG81" s="215"/>
      <c r="AJ81" s="215"/>
    </row>
    <row r="82" spans="1:36" s="213" customFormat="1" x14ac:dyDescent="0.25">
      <c r="A82" s="212"/>
      <c r="C82" s="212"/>
      <c r="K82" s="212"/>
      <c r="L82" s="212"/>
      <c r="M82" s="212"/>
      <c r="R82" s="214"/>
      <c r="AB82" s="215"/>
      <c r="AG82" s="215"/>
      <c r="AJ82" s="215"/>
    </row>
    <row r="83" spans="1:36" s="213" customFormat="1" x14ac:dyDescent="0.25">
      <c r="A83" s="212"/>
      <c r="C83" s="212"/>
      <c r="K83" s="212"/>
      <c r="L83" s="212"/>
      <c r="M83" s="212"/>
      <c r="R83" s="214"/>
      <c r="AB83" s="215"/>
      <c r="AG83" s="215"/>
      <c r="AJ83" s="215"/>
    </row>
    <row r="84" spans="1:36" s="213" customFormat="1" x14ac:dyDescent="0.25">
      <c r="A84" s="212"/>
      <c r="C84" s="212"/>
      <c r="K84" s="212"/>
      <c r="L84" s="212"/>
      <c r="M84" s="212"/>
      <c r="R84" s="214"/>
      <c r="AB84" s="215"/>
      <c r="AG84" s="215"/>
      <c r="AJ84" s="215"/>
    </row>
    <row r="85" spans="1:36" s="213" customFormat="1" x14ac:dyDescent="0.25">
      <c r="A85" s="212"/>
      <c r="C85" s="212"/>
      <c r="K85" s="212"/>
      <c r="L85" s="212"/>
      <c r="M85" s="212"/>
      <c r="R85" s="214"/>
      <c r="AB85" s="215"/>
      <c r="AG85" s="215"/>
      <c r="AJ85" s="215"/>
    </row>
    <row r="86" spans="1:36" s="213" customFormat="1" x14ac:dyDescent="0.25">
      <c r="A86" s="212"/>
      <c r="C86" s="212"/>
      <c r="K86" s="212"/>
      <c r="L86" s="212"/>
      <c r="M86" s="212"/>
      <c r="R86" s="214"/>
      <c r="AB86" s="215"/>
      <c r="AG86" s="215"/>
      <c r="AJ86" s="215"/>
    </row>
    <row r="87" spans="1:36" s="213" customFormat="1" x14ac:dyDescent="0.25">
      <c r="A87" s="212"/>
      <c r="C87" s="212"/>
      <c r="K87" s="212"/>
      <c r="L87" s="212"/>
      <c r="M87" s="212"/>
      <c r="R87" s="214"/>
      <c r="AB87" s="215"/>
      <c r="AG87" s="215"/>
      <c r="AJ87" s="215"/>
    </row>
    <row r="88" spans="1:36" s="213" customFormat="1" x14ac:dyDescent="0.25">
      <c r="A88" s="212"/>
      <c r="C88" s="212"/>
      <c r="K88" s="212"/>
      <c r="L88" s="212"/>
      <c r="M88" s="212"/>
      <c r="R88" s="214"/>
      <c r="AB88" s="215"/>
      <c r="AG88" s="215"/>
      <c r="AJ88" s="215"/>
    </row>
    <row r="89" spans="1:36" s="213" customFormat="1" x14ac:dyDescent="0.25">
      <c r="A89" s="212"/>
      <c r="C89" s="212"/>
      <c r="K89" s="212"/>
      <c r="L89" s="212"/>
      <c r="M89" s="212"/>
      <c r="R89" s="214"/>
      <c r="AB89" s="215"/>
      <c r="AG89" s="215"/>
      <c r="AJ89" s="215"/>
    </row>
    <row r="90" spans="1:36" s="213" customFormat="1" x14ac:dyDescent="0.25">
      <c r="A90" s="212"/>
      <c r="C90" s="212"/>
      <c r="K90" s="212"/>
      <c r="L90" s="212"/>
      <c r="M90" s="212"/>
      <c r="R90" s="214"/>
      <c r="AB90" s="215"/>
      <c r="AG90" s="215"/>
      <c r="AJ90" s="215"/>
    </row>
    <row r="91" spans="1:36" s="213" customFormat="1" x14ac:dyDescent="0.25">
      <c r="A91" s="212"/>
      <c r="C91" s="212"/>
      <c r="K91" s="212"/>
      <c r="L91" s="212"/>
      <c r="M91" s="212"/>
      <c r="R91" s="214"/>
      <c r="AB91" s="215"/>
      <c r="AG91" s="215"/>
      <c r="AJ91" s="215"/>
    </row>
    <row r="92" spans="1:36" s="213" customFormat="1" x14ac:dyDescent="0.25">
      <c r="A92" s="212"/>
      <c r="C92" s="212"/>
      <c r="K92" s="212"/>
      <c r="L92" s="212"/>
      <c r="M92" s="212"/>
      <c r="R92" s="214"/>
      <c r="AB92" s="215"/>
      <c r="AG92" s="215"/>
      <c r="AJ92" s="215"/>
    </row>
    <row r="93" spans="1:36" s="213" customFormat="1" x14ac:dyDescent="0.25">
      <c r="A93" s="212"/>
      <c r="C93" s="212"/>
      <c r="K93" s="212"/>
      <c r="L93" s="212"/>
      <c r="M93" s="212"/>
      <c r="R93" s="214"/>
      <c r="AB93" s="215"/>
      <c r="AG93" s="215"/>
      <c r="AJ93" s="215"/>
    </row>
    <row r="94" spans="1:36" s="213" customFormat="1" x14ac:dyDescent="0.25">
      <c r="A94" s="212"/>
      <c r="C94" s="212"/>
      <c r="K94" s="212"/>
      <c r="L94" s="212"/>
      <c r="M94" s="212"/>
      <c r="R94" s="214"/>
      <c r="AB94" s="215"/>
      <c r="AG94" s="215"/>
      <c r="AJ94" s="215"/>
    </row>
    <row r="95" spans="1:36" s="213" customFormat="1" x14ac:dyDescent="0.25">
      <c r="A95" s="212"/>
      <c r="C95" s="212"/>
      <c r="K95" s="212"/>
      <c r="L95" s="212"/>
      <c r="M95" s="212"/>
      <c r="R95" s="214"/>
      <c r="AB95" s="215"/>
      <c r="AG95" s="215"/>
      <c r="AJ95" s="215"/>
    </row>
    <row r="96" spans="1:36" s="213" customFormat="1" x14ac:dyDescent="0.25">
      <c r="A96" s="212"/>
      <c r="C96" s="212"/>
      <c r="K96" s="212"/>
      <c r="L96" s="212"/>
      <c r="M96" s="212"/>
      <c r="R96" s="214"/>
      <c r="AB96" s="215"/>
      <c r="AG96" s="215"/>
      <c r="AJ96" s="215"/>
    </row>
    <row r="97" spans="1:36" s="213" customFormat="1" x14ac:dyDescent="0.25">
      <c r="A97" s="212"/>
      <c r="C97" s="212"/>
      <c r="K97" s="212"/>
      <c r="L97" s="212"/>
      <c r="M97" s="212"/>
      <c r="R97" s="214"/>
      <c r="AB97" s="215"/>
      <c r="AG97" s="215"/>
      <c r="AJ97" s="215"/>
    </row>
    <row r="98" spans="1:36" s="213" customFormat="1" x14ac:dyDescent="0.25">
      <c r="A98" s="212"/>
      <c r="C98" s="212"/>
      <c r="K98" s="212"/>
      <c r="L98" s="212"/>
      <c r="M98" s="212"/>
      <c r="R98" s="214"/>
      <c r="AB98" s="215"/>
      <c r="AG98" s="215"/>
      <c r="AJ98" s="215"/>
    </row>
    <row r="99" spans="1:36" s="213" customFormat="1" x14ac:dyDescent="0.25">
      <c r="A99" s="212"/>
      <c r="C99" s="212"/>
      <c r="K99" s="212"/>
      <c r="L99" s="212"/>
      <c r="M99" s="212"/>
      <c r="R99" s="214"/>
      <c r="AB99" s="215"/>
      <c r="AG99" s="215"/>
      <c r="AJ99" s="215"/>
    </row>
    <row r="100" spans="1:36" s="213" customFormat="1" x14ac:dyDescent="0.25">
      <c r="A100" s="212"/>
      <c r="C100" s="212"/>
      <c r="K100" s="212"/>
      <c r="L100" s="212"/>
      <c r="M100" s="212"/>
      <c r="R100" s="214"/>
      <c r="AB100" s="215"/>
      <c r="AG100" s="215"/>
      <c r="AJ100" s="215"/>
    </row>
    <row r="101" spans="1:36" s="213" customFormat="1" x14ac:dyDescent="0.25">
      <c r="A101" s="212"/>
      <c r="C101" s="212"/>
      <c r="K101" s="212"/>
      <c r="L101" s="212"/>
      <c r="M101" s="212"/>
      <c r="R101" s="214"/>
      <c r="AB101" s="215"/>
      <c r="AG101" s="215"/>
      <c r="AJ101" s="215"/>
    </row>
    <row r="102" spans="1:36" s="213" customFormat="1" x14ac:dyDescent="0.25">
      <c r="A102" s="212"/>
      <c r="C102" s="212"/>
      <c r="K102" s="212"/>
      <c r="L102" s="212"/>
      <c r="M102" s="212"/>
      <c r="R102" s="214"/>
      <c r="AB102" s="215"/>
      <c r="AG102" s="215"/>
      <c r="AJ102" s="215"/>
    </row>
    <row r="103" spans="1:36" s="213" customFormat="1" x14ac:dyDescent="0.25">
      <c r="A103" s="212"/>
      <c r="C103" s="212"/>
      <c r="K103" s="212"/>
      <c r="L103" s="212"/>
      <c r="M103" s="212"/>
      <c r="R103" s="214"/>
      <c r="AB103" s="215"/>
      <c r="AG103" s="215"/>
      <c r="AJ103" s="215"/>
    </row>
    <row r="104" spans="1:36" s="213" customFormat="1" x14ac:dyDescent="0.25">
      <c r="A104" s="212"/>
      <c r="C104" s="212"/>
      <c r="K104" s="212"/>
      <c r="L104" s="212"/>
      <c r="M104" s="212"/>
      <c r="R104" s="214"/>
      <c r="AB104" s="215"/>
      <c r="AG104" s="215"/>
      <c r="AJ104" s="215"/>
    </row>
    <row r="105" spans="1:36" s="213" customFormat="1" x14ac:dyDescent="0.25">
      <c r="A105" s="212"/>
      <c r="C105" s="212"/>
      <c r="K105" s="212"/>
      <c r="L105" s="212"/>
      <c r="M105" s="212"/>
      <c r="R105" s="214"/>
      <c r="AB105" s="215"/>
      <c r="AG105" s="215"/>
      <c r="AJ105" s="215"/>
    </row>
    <row r="106" spans="1:36" s="213" customFormat="1" x14ac:dyDescent="0.25">
      <c r="A106" s="212"/>
      <c r="C106" s="212"/>
      <c r="K106" s="212"/>
      <c r="L106" s="212"/>
      <c r="M106" s="212"/>
      <c r="R106" s="214"/>
      <c r="AB106" s="215"/>
      <c r="AG106" s="215"/>
      <c r="AJ106" s="215"/>
    </row>
    <row r="107" spans="1:36" s="213" customFormat="1" x14ac:dyDescent="0.25">
      <c r="A107" s="212"/>
      <c r="C107" s="212"/>
      <c r="K107" s="212"/>
      <c r="L107" s="212"/>
      <c r="M107" s="212"/>
      <c r="R107" s="214"/>
      <c r="AB107" s="215"/>
      <c r="AG107" s="215"/>
      <c r="AJ107" s="215"/>
    </row>
    <row r="108" spans="1:36" s="213" customFormat="1" x14ac:dyDescent="0.25">
      <c r="A108" s="212"/>
      <c r="C108" s="212"/>
      <c r="K108" s="212"/>
      <c r="L108" s="212"/>
      <c r="M108" s="212"/>
      <c r="R108" s="214"/>
      <c r="AB108" s="215"/>
      <c r="AG108" s="215"/>
      <c r="AJ108" s="215"/>
    </row>
    <row r="109" spans="1:36" s="213" customFormat="1" x14ac:dyDescent="0.25">
      <c r="A109" s="212"/>
      <c r="C109" s="212"/>
      <c r="K109" s="212"/>
      <c r="L109" s="212"/>
      <c r="M109" s="212"/>
      <c r="R109" s="214"/>
      <c r="AB109" s="215"/>
      <c r="AG109" s="215"/>
      <c r="AJ109" s="215"/>
    </row>
    <row r="110" spans="1:36" s="213" customFormat="1" x14ac:dyDescent="0.25">
      <c r="A110" s="212"/>
      <c r="C110" s="212"/>
      <c r="K110" s="212"/>
      <c r="L110" s="212"/>
      <c r="M110" s="212"/>
      <c r="R110" s="214"/>
      <c r="AB110" s="215"/>
      <c r="AG110" s="215"/>
      <c r="AJ110" s="215"/>
    </row>
    <row r="111" spans="1:36" s="213" customFormat="1" x14ac:dyDescent="0.25">
      <c r="A111" s="212"/>
      <c r="C111" s="212"/>
      <c r="K111" s="212"/>
      <c r="L111" s="212"/>
      <c r="M111" s="212"/>
      <c r="R111" s="214"/>
      <c r="AB111" s="215"/>
      <c r="AG111" s="215"/>
      <c r="AJ111" s="215"/>
    </row>
    <row r="112" spans="1:36" s="213" customFormat="1" x14ac:dyDescent="0.25">
      <c r="A112" s="212"/>
      <c r="C112" s="212"/>
      <c r="K112" s="212"/>
      <c r="L112" s="212"/>
      <c r="M112" s="212"/>
      <c r="R112" s="214"/>
      <c r="AB112" s="215"/>
      <c r="AG112" s="215"/>
      <c r="AJ112" s="215"/>
    </row>
    <row r="113" spans="1:36" s="213" customFormat="1" x14ac:dyDescent="0.25">
      <c r="A113" s="212"/>
      <c r="C113" s="212"/>
      <c r="K113" s="212"/>
      <c r="L113" s="212"/>
      <c r="M113" s="212"/>
      <c r="R113" s="214"/>
      <c r="AB113" s="215"/>
      <c r="AG113" s="215"/>
      <c r="AJ113" s="215"/>
    </row>
    <row r="114" spans="1:36" s="213" customFormat="1" x14ac:dyDescent="0.25">
      <c r="A114" s="212"/>
      <c r="C114" s="212"/>
      <c r="K114" s="212"/>
      <c r="L114" s="212"/>
      <c r="M114" s="212"/>
      <c r="R114" s="214"/>
      <c r="AB114" s="215"/>
      <c r="AG114" s="215"/>
      <c r="AJ114" s="215"/>
    </row>
    <row r="115" spans="1:36" s="213" customFormat="1" x14ac:dyDescent="0.25">
      <c r="A115" s="212"/>
      <c r="C115" s="212"/>
      <c r="K115" s="212"/>
      <c r="L115" s="212"/>
      <c r="M115" s="212"/>
      <c r="R115" s="214"/>
      <c r="AB115" s="215"/>
      <c r="AG115" s="215"/>
      <c r="AJ115" s="215"/>
    </row>
    <row r="116" spans="1:36" s="213" customFormat="1" x14ac:dyDescent="0.25">
      <c r="A116" s="212"/>
      <c r="C116" s="212"/>
      <c r="K116" s="212"/>
      <c r="L116" s="212"/>
      <c r="M116" s="212"/>
      <c r="R116" s="214"/>
      <c r="AB116" s="215"/>
      <c r="AG116" s="215"/>
      <c r="AJ116" s="215"/>
    </row>
    <row r="117" spans="1:36" s="213" customFormat="1" x14ac:dyDescent="0.25">
      <c r="A117" s="212"/>
      <c r="C117" s="212"/>
      <c r="K117" s="212"/>
      <c r="L117" s="212"/>
      <c r="M117" s="212"/>
      <c r="R117" s="214"/>
      <c r="AB117" s="215"/>
      <c r="AG117" s="215"/>
      <c r="AJ117" s="215"/>
    </row>
    <row r="118" spans="1:36" s="213" customFormat="1" x14ac:dyDescent="0.25">
      <c r="A118" s="212"/>
      <c r="C118" s="212"/>
      <c r="K118" s="212"/>
      <c r="L118" s="212"/>
      <c r="M118" s="212"/>
      <c r="R118" s="214"/>
      <c r="AB118" s="215"/>
      <c r="AG118" s="215"/>
      <c r="AJ118" s="215"/>
    </row>
    <row r="119" spans="1:36" s="213" customFormat="1" x14ac:dyDescent="0.25">
      <c r="A119" s="212"/>
      <c r="C119" s="212"/>
      <c r="K119" s="212"/>
      <c r="L119" s="212"/>
      <c r="M119" s="212"/>
      <c r="R119" s="214"/>
      <c r="AB119" s="215"/>
      <c r="AG119" s="215"/>
      <c r="AJ119" s="215"/>
    </row>
    <row r="120" spans="1:36" s="213" customFormat="1" x14ac:dyDescent="0.25">
      <c r="A120" s="212"/>
      <c r="C120" s="212"/>
      <c r="K120" s="212"/>
      <c r="L120" s="212"/>
      <c r="M120" s="212"/>
      <c r="R120" s="214"/>
      <c r="AB120" s="215"/>
      <c r="AG120" s="215"/>
      <c r="AJ120" s="215"/>
    </row>
    <row r="121" spans="1:36" s="213" customFormat="1" x14ac:dyDescent="0.25">
      <c r="A121" s="212"/>
      <c r="C121" s="212"/>
      <c r="K121" s="212"/>
      <c r="L121" s="212"/>
      <c r="M121" s="212"/>
      <c r="R121" s="214"/>
      <c r="AB121" s="215"/>
      <c r="AG121" s="215"/>
      <c r="AJ121" s="215"/>
    </row>
    <row r="122" spans="1:36" s="213" customFormat="1" x14ac:dyDescent="0.25">
      <c r="A122" s="212"/>
      <c r="C122" s="212"/>
      <c r="K122" s="212"/>
      <c r="L122" s="212"/>
      <c r="M122" s="212"/>
      <c r="R122" s="214"/>
      <c r="AB122" s="215"/>
      <c r="AG122" s="215"/>
      <c r="AJ122" s="215"/>
    </row>
    <row r="123" spans="1:36" s="213" customFormat="1" x14ac:dyDescent="0.25">
      <c r="A123" s="212"/>
      <c r="C123" s="212"/>
      <c r="K123" s="212"/>
      <c r="L123" s="212"/>
      <c r="M123" s="212"/>
      <c r="R123" s="214"/>
      <c r="AB123" s="215"/>
      <c r="AG123" s="215"/>
      <c r="AJ123" s="215"/>
    </row>
    <row r="124" spans="1:36" s="213" customFormat="1" x14ac:dyDescent="0.25">
      <c r="A124" s="212"/>
      <c r="C124" s="212"/>
      <c r="K124" s="212"/>
      <c r="L124" s="212"/>
      <c r="M124" s="212"/>
      <c r="R124" s="214"/>
      <c r="AB124" s="215"/>
      <c r="AG124" s="215"/>
      <c r="AJ124" s="215"/>
    </row>
    <row r="125" spans="1:36" s="213" customFormat="1" x14ac:dyDescent="0.25">
      <c r="A125" s="212"/>
      <c r="C125" s="212"/>
      <c r="K125" s="212"/>
      <c r="L125" s="212"/>
      <c r="M125" s="212"/>
      <c r="R125" s="214"/>
      <c r="AB125" s="215"/>
      <c r="AG125" s="215"/>
      <c r="AJ125" s="215"/>
    </row>
    <row r="126" spans="1:36" s="213" customFormat="1" x14ac:dyDescent="0.25">
      <c r="A126" s="212"/>
      <c r="C126" s="212"/>
      <c r="K126" s="212"/>
      <c r="L126" s="212"/>
      <c r="M126" s="212"/>
      <c r="R126" s="214"/>
      <c r="AB126" s="215"/>
      <c r="AG126" s="215"/>
      <c r="AJ126" s="215"/>
    </row>
    <row r="127" spans="1:36" s="213" customFormat="1" x14ac:dyDescent="0.25">
      <c r="A127" s="212"/>
      <c r="C127" s="212"/>
      <c r="K127" s="212"/>
      <c r="L127" s="212"/>
      <c r="M127" s="212"/>
      <c r="R127" s="214"/>
      <c r="AB127" s="215"/>
      <c r="AG127" s="215"/>
      <c r="AJ127" s="215"/>
    </row>
    <row r="128" spans="1:36" s="213" customFormat="1" x14ac:dyDescent="0.25">
      <c r="A128" s="212"/>
      <c r="C128" s="212"/>
      <c r="K128" s="212"/>
      <c r="L128" s="212"/>
      <c r="M128" s="212"/>
      <c r="R128" s="214"/>
      <c r="AB128" s="215"/>
      <c r="AG128" s="215"/>
      <c r="AJ128" s="215"/>
    </row>
    <row r="129" spans="1:36" s="213" customFormat="1" x14ac:dyDescent="0.25">
      <c r="A129" s="212"/>
      <c r="C129" s="212"/>
      <c r="K129" s="212"/>
      <c r="L129" s="212"/>
      <c r="M129" s="212"/>
      <c r="R129" s="214"/>
      <c r="AB129" s="215"/>
      <c r="AG129" s="215"/>
      <c r="AJ129" s="215"/>
    </row>
    <row r="130" spans="1:36" s="213" customFormat="1" x14ac:dyDescent="0.25">
      <c r="A130" s="212"/>
      <c r="C130" s="212"/>
      <c r="K130" s="212"/>
      <c r="L130" s="212"/>
      <c r="M130" s="212"/>
      <c r="R130" s="214"/>
      <c r="AB130" s="215"/>
      <c r="AG130" s="215"/>
      <c r="AJ130" s="215"/>
    </row>
    <row r="131" spans="1:36" s="213" customFormat="1" x14ac:dyDescent="0.25">
      <c r="A131" s="212"/>
      <c r="C131" s="212"/>
      <c r="K131" s="212"/>
      <c r="L131" s="212"/>
      <c r="M131" s="212"/>
      <c r="R131" s="214"/>
      <c r="AB131" s="215"/>
      <c r="AG131" s="215"/>
      <c r="AJ131" s="215"/>
    </row>
    <row r="132" spans="1:36" s="213" customFormat="1" x14ac:dyDescent="0.25">
      <c r="A132" s="212"/>
      <c r="C132" s="212"/>
      <c r="K132" s="212"/>
      <c r="L132" s="212"/>
      <c r="M132" s="212"/>
      <c r="R132" s="214"/>
      <c r="AB132" s="215"/>
      <c r="AG132" s="215"/>
      <c r="AJ132" s="215"/>
    </row>
    <row r="133" spans="1:36" s="213" customFormat="1" x14ac:dyDescent="0.25">
      <c r="A133" s="212"/>
      <c r="C133" s="212"/>
      <c r="K133" s="212"/>
      <c r="L133" s="212"/>
      <c r="M133" s="212"/>
      <c r="R133" s="214"/>
      <c r="AB133" s="215"/>
      <c r="AG133" s="215"/>
      <c r="AJ133" s="215"/>
    </row>
    <row r="134" spans="1:36" s="213" customFormat="1" x14ac:dyDescent="0.25">
      <c r="A134" s="212"/>
      <c r="C134" s="212"/>
      <c r="K134" s="212"/>
      <c r="L134" s="212"/>
      <c r="M134" s="212"/>
      <c r="R134" s="214"/>
      <c r="AB134" s="215"/>
      <c r="AG134" s="215"/>
      <c r="AJ134" s="215"/>
    </row>
    <row r="135" spans="1:36" s="213" customFormat="1" x14ac:dyDescent="0.25">
      <c r="A135" s="212"/>
      <c r="C135" s="212"/>
      <c r="K135" s="212"/>
      <c r="L135" s="212"/>
      <c r="M135" s="212"/>
      <c r="R135" s="214"/>
      <c r="AB135" s="215"/>
      <c r="AG135" s="215"/>
      <c r="AJ135" s="215"/>
    </row>
    <row r="136" spans="1:36" s="213" customFormat="1" x14ac:dyDescent="0.25">
      <c r="A136" s="212"/>
      <c r="C136" s="212"/>
      <c r="K136" s="212"/>
      <c r="L136" s="212"/>
      <c r="M136" s="212"/>
      <c r="R136" s="214"/>
      <c r="AB136" s="215"/>
      <c r="AG136" s="215"/>
      <c r="AJ136" s="215"/>
    </row>
    <row r="137" spans="1:36" s="213" customFormat="1" x14ac:dyDescent="0.25">
      <c r="A137" s="212"/>
      <c r="C137" s="212"/>
      <c r="K137" s="212"/>
      <c r="L137" s="212"/>
      <c r="M137" s="212"/>
      <c r="R137" s="214"/>
      <c r="AB137" s="215"/>
      <c r="AG137" s="215"/>
      <c r="AJ137" s="215"/>
    </row>
    <row r="138" spans="1:36" s="213" customFormat="1" x14ac:dyDescent="0.25">
      <c r="A138" s="212"/>
      <c r="C138" s="212"/>
      <c r="K138" s="212"/>
      <c r="L138" s="212"/>
      <c r="M138" s="212"/>
      <c r="R138" s="214"/>
      <c r="AB138" s="215"/>
      <c r="AG138" s="215"/>
      <c r="AJ138" s="215"/>
    </row>
    <row r="139" spans="1:36" s="213" customFormat="1" x14ac:dyDescent="0.25">
      <c r="A139" s="212"/>
      <c r="C139" s="212"/>
      <c r="K139" s="212"/>
      <c r="L139" s="212"/>
      <c r="M139" s="212"/>
      <c r="R139" s="214"/>
      <c r="AB139" s="215"/>
      <c r="AG139" s="215"/>
      <c r="AJ139" s="215"/>
    </row>
    <row r="140" spans="1:36" s="213" customFormat="1" x14ac:dyDescent="0.25">
      <c r="A140" s="212"/>
      <c r="C140" s="212"/>
      <c r="K140" s="212"/>
      <c r="L140" s="212"/>
      <c r="M140" s="212"/>
      <c r="R140" s="214"/>
      <c r="AB140" s="215"/>
      <c r="AG140" s="215"/>
      <c r="AJ140" s="215"/>
    </row>
    <row r="141" spans="1:36" s="213" customFormat="1" x14ac:dyDescent="0.25">
      <c r="A141" s="212"/>
      <c r="C141" s="212"/>
      <c r="K141" s="212"/>
      <c r="L141" s="212"/>
      <c r="M141" s="212"/>
      <c r="R141" s="214"/>
      <c r="AB141" s="215"/>
      <c r="AG141" s="215"/>
      <c r="AJ141" s="215"/>
    </row>
    <row r="142" spans="1:36" s="213" customFormat="1" x14ac:dyDescent="0.25">
      <c r="A142" s="212"/>
      <c r="C142" s="212"/>
      <c r="K142" s="212"/>
      <c r="L142" s="212"/>
      <c r="M142" s="212"/>
      <c r="R142" s="214"/>
      <c r="AB142" s="215"/>
      <c r="AG142" s="215"/>
      <c r="AJ142" s="215"/>
    </row>
    <row r="143" spans="1:36" s="213" customFormat="1" x14ac:dyDescent="0.25">
      <c r="A143" s="212"/>
      <c r="C143" s="212"/>
      <c r="K143" s="212"/>
      <c r="L143" s="212"/>
      <c r="M143" s="212"/>
      <c r="R143" s="214"/>
      <c r="AB143" s="215"/>
      <c r="AG143" s="215"/>
      <c r="AJ143" s="215"/>
    </row>
    <row r="144" spans="1:36" s="213" customFormat="1" x14ac:dyDescent="0.25">
      <c r="A144" s="212"/>
      <c r="C144" s="212"/>
      <c r="K144" s="212"/>
      <c r="L144" s="212"/>
      <c r="M144" s="212"/>
      <c r="R144" s="214"/>
      <c r="AB144" s="215"/>
      <c r="AG144" s="215"/>
      <c r="AJ144" s="215"/>
    </row>
    <row r="145" spans="1:36" s="213" customFormat="1" x14ac:dyDescent="0.25">
      <c r="A145" s="212"/>
      <c r="C145" s="212"/>
      <c r="K145" s="212"/>
      <c r="L145" s="212"/>
      <c r="M145" s="212"/>
      <c r="R145" s="214"/>
      <c r="AB145" s="215"/>
      <c r="AG145" s="215"/>
      <c r="AJ145" s="215"/>
    </row>
    <row r="146" spans="1:36" s="213" customFormat="1" x14ac:dyDescent="0.25">
      <c r="A146" s="212"/>
      <c r="C146" s="212"/>
      <c r="K146" s="212"/>
      <c r="L146" s="212"/>
      <c r="M146" s="212"/>
      <c r="R146" s="214"/>
      <c r="AB146" s="215"/>
      <c r="AG146" s="215"/>
      <c r="AJ146" s="215"/>
    </row>
    <row r="147" spans="1:36" s="213" customFormat="1" x14ac:dyDescent="0.25">
      <c r="A147" s="212"/>
      <c r="C147" s="212"/>
      <c r="K147" s="212"/>
      <c r="L147" s="212"/>
      <c r="M147" s="212"/>
      <c r="R147" s="214"/>
      <c r="AB147" s="215"/>
      <c r="AG147" s="215"/>
      <c r="AJ147" s="215"/>
    </row>
    <row r="148" spans="1:36" s="213" customFormat="1" x14ac:dyDescent="0.25">
      <c r="A148" s="212"/>
      <c r="C148" s="212"/>
      <c r="K148" s="212"/>
      <c r="L148" s="212"/>
      <c r="M148" s="212"/>
      <c r="R148" s="214"/>
      <c r="AB148" s="215"/>
      <c r="AG148" s="215"/>
      <c r="AJ148" s="215"/>
    </row>
    <row r="149" spans="1:36" s="213" customFormat="1" x14ac:dyDescent="0.25">
      <c r="A149" s="212"/>
      <c r="C149" s="212"/>
      <c r="K149" s="212"/>
      <c r="L149" s="212"/>
      <c r="M149" s="212"/>
      <c r="R149" s="214"/>
      <c r="AB149" s="215"/>
      <c r="AG149" s="215"/>
      <c r="AJ149" s="215"/>
    </row>
    <row r="150" spans="1:36" s="213" customFormat="1" x14ac:dyDescent="0.25">
      <c r="A150" s="212"/>
      <c r="C150" s="212"/>
      <c r="K150" s="212"/>
      <c r="L150" s="212"/>
      <c r="M150" s="212"/>
      <c r="R150" s="214"/>
      <c r="AB150" s="215"/>
      <c r="AG150" s="215"/>
      <c r="AJ150" s="215"/>
    </row>
    <row r="151" spans="1:36" s="213" customFormat="1" x14ac:dyDescent="0.25">
      <c r="A151" s="212"/>
      <c r="C151" s="212"/>
      <c r="K151" s="212"/>
      <c r="L151" s="212"/>
      <c r="M151" s="212"/>
      <c r="R151" s="214"/>
      <c r="AB151" s="215"/>
      <c r="AG151" s="215"/>
      <c r="AJ151" s="215"/>
    </row>
    <row r="152" spans="1:36" s="213" customFormat="1" x14ac:dyDescent="0.25">
      <c r="A152" s="212"/>
      <c r="C152" s="212"/>
      <c r="K152" s="212"/>
      <c r="L152" s="212"/>
      <c r="M152" s="212"/>
      <c r="R152" s="214"/>
      <c r="AB152" s="215"/>
      <c r="AG152" s="215"/>
      <c r="AJ152" s="215"/>
    </row>
    <row r="153" spans="1:36" s="213" customFormat="1" x14ac:dyDescent="0.25">
      <c r="A153" s="212"/>
      <c r="C153" s="212"/>
      <c r="K153" s="212"/>
      <c r="L153" s="212"/>
      <c r="M153" s="212"/>
      <c r="R153" s="214"/>
      <c r="AB153" s="215"/>
      <c r="AG153" s="215"/>
      <c r="AJ153" s="215"/>
    </row>
    <row r="154" spans="1:36" s="213" customFormat="1" x14ac:dyDescent="0.25">
      <c r="A154" s="212"/>
      <c r="C154" s="212"/>
      <c r="K154" s="212"/>
      <c r="L154" s="212"/>
      <c r="M154" s="212"/>
      <c r="R154" s="214"/>
      <c r="AB154" s="215"/>
      <c r="AG154" s="215"/>
      <c r="AJ154" s="215"/>
    </row>
    <row r="155" spans="1:36" s="213" customFormat="1" x14ac:dyDescent="0.25">
      <c r="A155" s="212"/>
      <c r="C155" s="212"/>
      <c r="K155" s="212"/>
      <c r="L155" s="212"/>
      <c r="M155" s="212"/>
      <c r="R155" s="214"/>
      <c r="AB155" s="215"/>
      <c r="AG155" s="215"/>
      <c r="AJ155" s="215"/>
    </row>
    <row r="156" spans="1:36" s="213" customFormat="1" x14ac:dyDescent="0.25">
      <c r="A156" s="212"/>
      <c r="C156" s="212"/>
      <c r="K156" s="212"/>
      <c r="L156" s="212"/>
      <c r="M156" s="212"/>
      <c r="R156" s="214"/>
      <c r="AB156" s="215"/>
      <c r="AG156" s="215"/>
      <c r="AJ156" s="215"/>
    </row>
    <row r="157" spans="1:36" s="213" customFormat="1" x14ac:dyDescent="0.25">
      <c r="A157" s="212"/>
      <c r="C157" s="212"/>
      <c r="K157" s="212"/>
      <c r="L157" s="212"/>
      <c r="M157" s="212"/>
      <c r="R157" s="214"/>
      <c r="AB157" s="215"/>
      <c r="AG157" s="215"/>
      <c r="AJ157" s="215"/>
    </row>
    <row r="158" spans="1:36" s="213" customFormat="1" x14ac:dyDescent="0.25">
      <c r="A158" s="212"/>
      <c r="C158" s="212"/>
      <c r="K158" s="212"/>
      <c r="L158" s="212"/>
      <c r="M158" s="212"/>
      <c r="R158" s="214"/>
      <c r="AB158" s="215"/>
      <c r="AG158" s="215"/>
      <c r="AJ158" s="215"/>
    </row>
    <row r="159" spans="1:36" s="213" customFormat="1" x14ac:dyDescent="0.25">
      <c r="A159" s="212"/>
      <c r="C159" s="212"/>
      <c r="K159" s="212"/>
      <c r="L159" s="212"/>
      <c r="M159" s="212"/>
      <c r="R159" s="214"/>
      <c r="AB159" s="215"/>
      <c r="AG159" s="215"/>
      <c r="AJ159" s="215"/>
    </row>
    <row r="160" spans="1:36" s="213" customFormat="1" x14ac:dyDescent="0.25">
      <c r="A160" s="212"/>
      <c r="C160" s="212"/>
      <c r="K160" s="212"/>
      <c r="L160" s="212"/>
      <c r="M160" s="212"/>
      <c r="R160" s="214"/>
      <c r="AB160" s="215"/>
      <c r="AG160" s="215"/>
      <c r="AJ160" s="215"/>
    </row>
    <row r="161" spans="1:36" s="213" customFormat="1" x14ac:dyDescent="0.25">
      <c r="A161" s="212"/>
      <c r="C161" s="212"/>
      <c r="K161" s="212"/>
      <c r="L161" s="212"/>
      <c r="M161" s="212"/>
      <c r="R161" s="214"/>
      <c r="AB161" s="215"/>
      <c r="AG161" s="215"/>
      <c r="AJ161" s="215"/>
    </row>
    <row r="162" spans="1:36" s="213" customFormat="1" x14ac:dyDescent="0.25">
      <c r="A162" s="212"/>
      <c r="C162" s="212"/>
      <c r="K162" s="212"/>
      <c r="L162" s="212"/>
      <c r="M162" s="212"/>
      <c r="R162" s="214"/>
      <c r="AB162" s="215"/>
      <c r="AG162" s="215"/>
      <c r="AJ162" s="215"/>
    </row>
    <row r="163" spans="1:36" s="213" customFormat="1" x14ac:dyDescent="0.25">
      <c r="A163" s="212"/>
      <c r="C163" s="212"/>
      <c r="K163" s="212"/>
      <c r="L163" s="212"/>
      <c r="M163" s="212"/>
      <c r="R163" s="214"/>
      <c r="AB163" s="215"/>
      <c r="AG163" s="215"/>
      <c r="AJ163" s="215"/>
    </row>
    <row r="164" spans="1:36" s="213" customFormat="1" x14ac:dyDescent="0.25">
      <c r="A164" s="212"/>
      <c r="C164" s="212"/>
      <c r="K164" s="212"/>
      <c r="L164" s="212"/>
      <c r="M164" s="212"/>
      <c r="R164" s="214"/>
      <c r="AB164" s="215"/>
      <c r="AG164" s="215"/>
      <c r="AJ164" s="215"/>
    </row>
    <row r="165" spans="1:36" s="213" customFormat="1" x14ac:dyDescent="0.25">
      <c r="A165" s="212"/>
      <c r="C165" s="212"/>
      <c r="K165" s="212"/>
      <c r="L165" s="212"/>
      <c r="M165" s="212"/>
      <c r="R165" s="214"/>
      <c r="AB165" s="215"/>
      <c r="AG165" s="215"/>
      <c r="AJ165" s="215"/>
    </row>
    <row r="166" spans="1:36" s="213" customFormat="1" x14ac:dyDescent="0.25">
      <c r="A166" s="212"/>
      <c r="C166" s="212"/>
      <c r="K166" s="212"/>
      <c r="L166" s="212"/>
      <c r="M166" s="212"/>
      <c r="R166" s="214"/>
      <c r="AB166" s="215"/>
      <c r="AG166" s="215"/>
      <c r="AJ166" s="215"/>
    </row>
    <row r="167" spans="1:36" s="213" customFormat="1" x14ac:dyDescent="0.25">
      <c r="A167" s="212"/>
      <c r="C167" s="212"/>
      <c r="K167" s="212"/>
      <c r="L167" s="212"/>
      <c r="M167" s="212"/>
      <c r="R167" s="214"/>
      <c r="AB167" s="215"/>
      <c r="AG167" s="215"/>
      <c r="AJ167" s="215"/>
    </row>
    <row r="168" spans="1:36" s="213" customFormat="1" x14ac:dyDescent="0.25">
      <c r="A168" s="212"/>
      <c r="C168" s="212"/>
      <c r="K168" s="212"/>
      <c r="L168" s="212"/>
      <c r="M168" s="212"/>
      <c r="R168" s="214"/>
      <c r="AB168" s="215"/>
      <c r="AG168" s="215"/>
      <c r="AJ168" s="215"/>
    </row>
    <row r="169" spans="1:36" s="213" customFormat="1" x14ac:dyDescent="0.25">
      <c r="A169" s="212"/>
      <c r="C169" s="212"/>
      <c r="K169" s="212"/>
      <c r="L169" s="212"/>
      <c r="M169" s="212"/>
      <c r="R169" s="214"/>
      <c r="AB169" s="215"/>
      <c r="AG169" s="215"/>
      <c r="AJ169" s="215"/>
    </row>
    <row r="170" spans="1:36" s="213" customFormat="1" x14ac:dyDescent="0.25">
      <c r="A170" s="212"/>
      <c r="C170" s="212"/>
      <c r="K170" s="212"/>
      <c r="L170" s="212"/>
      <c r="M170" s="212"/>
      <c r="R170" s="214"/>
      <c r="AB170" s="215"/>
      <c r="AG170" s="215"/>
      <c r="AJ170" s="215"/>
    </row>
    <row r="171" spans="1:36" s="213" customFormat="1" x14ac:dyDescent="0.25">
      <c r="A171" s="212"/>
      <c r="C171" s="212"/>
      <c r="K171" s="212"/>
      <c r="L171" s="212"/>
      <c r="M171" s="212"/>
      <c r="R171" s="214"/>
      <c r="AB171" s="215"/>
      <c r="AG171" s="215"/>
      <c r="AJ171" s="215"/>
    </row>
    <row r="172" spans="1:36" s="213" customFormat="1" x14ac:dyDescent="0.25">
      <c r="A172" s="212"/>
      <c r="C172" s="212"/>
      <c r="K172" s="212"/>
      <c r="L172" s="212"/>
      <c r="M172" s="212"/>
      <c r="R172" s="214"/>
      <c r="AB172" s="215"/>
      <c r="AG172" s="215"/>
      <c r="AJ172" s="215"/>
    </row>
    <row r="173" spans="1:36" s="213" customFormat="1" x14ac:dyDescent="0.25">
      <c r="A173" s="212"/>
      <c r="C173" s="212"/>
      <c r="K173" s="212"/>
      <c r="L173" s="212"/>
      <c r="M173" s="212"/>
      <c r="R173" s="214"/>
      <c r="AB173" s="215"/>
      <c r="AG173" s="215"/>
      <c r="AJ173" s="215"/>
    </row>
    <row r="174" spans="1:36" s="213" customFormat="1" x14ac:dyDescent="0.25">
      <c r="A174" s="212"/>
      <c r="C174" s="212"/>
      <c r="K174" s="212"/>
      <c r="L174" s="212"/>
      <c r="M174" s="212"/>
      <c r="R174" s="214"/>
      <c r="AB174" s="215"/>
      <c r="AG174" s="215"/>
      <c r="AJ174" s="215"/>
    </row>
    <row r="175" spans="1:36" s="213" customFormat="1" x14ac:dyDescent="0.25">
      <c r="A175" s="212"/>
      <c r="C175" s="212"/>
      <c r="K175" s="212"/>
      <c r="L175" s="212"/>
      <c r="M175" s="212"/>
      <c r="R175" s="214"/>
      <c r="AB175" s="215"/>
      <c r="AG175" s="215"/>
      <c r="AJ175" s="215"/>
    </row>
    <row r="176" spans="1:36" s="213" customFormat="1" x14ac:dyDescent="0.25">
      <c r="A176" s="212"/>
      <c r="C176" s="212"/>
      <c r="K176" s="212"/>
      <c r="L176" s="212"/>
      <c r="M176" s="212"/>
      <c r="R176" s="214"/>
      <c r="AB176" s="215"/>
      <c r="AG176" s="215"/>
      <c r="AJ176" s="215"/>
    </row>
    <row r="177" spans="1:36" s="213" customFormat="1" x14ac:dyDescent="0.25">
      <c r="A177" s="212"/>
      <c r="C177" s="212"/>
      <c r="K177" s="212"/>
      <c r="L177" s="212"/>
      <c r="M177" s="212"/>
      <c r="R177" s="214"/>
      <c r="AB177" s="215"/>
      <c r="AG177" s="215"/>
      <c r="AJ177" s="215"/>
    </row>
    <row r="178" spans="1:36" s="213" customFormat="1" x14ac:dyDescent="0.25">
      <c r="A178" s="212"/>
      <c r="C178" s="212"/>
      <c r="K178" s="212"/>
      <c r="L178" s="212"/>
      <c r="M178" s="212"/>
      <c r="R178" s="214"/>
      <c r="AB178" s="215"/>
      <c r="AG178" s="215"/>
      <c r="AJ178" s="215"/>
    </row>
    <row r="179" spans="1:36" s="213" customFormat="1" x14ac:dyDescent="0.25">
      <c r="A179" s="212"/>
      <c r="C179" s="212"/>
      <c r="K179" s="212"/>
      <c r="L179" s="212"/>
      <c r="M179" s="212"/>
      <c r="R179" s="214"/>
      <c r="AB179" s="215"/>
      <c r="AG179" s="215"/>
      <c r="AJ179" s="215"/>
    </row>
    <row r="180" spans="1:36" s="213" customFormat="1" x14ac:dyDescent="0.25">
      <c r="A180" s="212"/>
      <c r="C180" s="212"/>
      <c r="K180" s="212"/>
      <c r="L180" s="212"/>
      <c r="M180" s="212"/>
      <c r="R180" s="214"/>
      <c r="AB180" s="215"/>
      <c r="AG180" s="215"/>
      <c r="AJ180" s="215"/>
    </row>
    <row r="181" spans="1:36" s="213" customFormat="1" x14ac:dyDescent="0.25">
      <c r="A181" s="212"/>
      <c r="C181" s="212"/>
      <c r="K181" s="212"/>
      <c r="L181" s="212"/>
      <c r="M181" s="212"/>
      <c r="R181" s="214"/>
      <c r="AB181" s="215"/>
      <c r="AG181" s="215"/>
      <c r="AJ181" s="215"/>
    </row>
    <row r="182" spans="1:36" s="213" customFormat="1" x14ac:dyDescent="0.25">
      <c r="A182" s="212"/>
      <c r="C182" s="212"/>
      <c r="K182" s="212"/>
      <c r="L182" s="212"/>
      <c r="M182" s="212"/>
      <c r="R182" s="214"/>
      <c r="AB182" s="215"/>
      <c r="AG182" s="215"/>
      <c r="AJ182" s="215"/>
    </row>
    <row r="183" spans="1:36" s="213" customFormat="1" x14ac:dyDescent="0.25">
      <c r="A183" s="212"/>
      <c r="C183" s="212"/>
      <c r="K183" s="212"/>
      <c r="L183" s="212"/>
      <c r="M183" s="212"/>
      <c r="R183" s="214"/>
      <c r="AB183" s="215"/>
      <c r="AG183" s="215"/>
      <c r="AJ183" s="215"/>
    </row>
    <row r="184" spans="1:36" s="213" customFormat="1" x14ac:dyDescent="0.25">
      <c r="A184" s="212"/>
      <c r="C184" s="212"/>
      <c r="K184" s="212"/>
      <c r="L184" s="212"/>
      <c r="M184" s="212"/>
      <c r="R184" s="214"/>
      <c r="AB184" s="215"/>
      <c r="AG184" s="215"/>
      <c r="AJ184" s="215"/>
    </row>
    <row r="185" spans="1:36" s="213" customFormat="1" x14ac:dyDescent="0.25">
      <c r="A185" s="212"/>
      <c r="C185" s="212"/>
      <c r="K185" s="212"/>
      <c r="L185" s="212"/>
      <c r="M185" s="212"/>
      <c r="R185" s="214"/>
      <c r="AB185" s="215"/>
      <c r="AG185" s="215"/>
      <c r="AJ185" s="215"/>
    </row>
    <row r="186" spans="1:36" s="213" customFormat="1" x14ac:dyDescent="0.25">
      <c r="A186" s="212"/>
      <c r="C186" s="212"/>
      <c r="K186" s="212"/>
      <c r="L186" s="212"/>
      <c r="M186" s="212"/>
      <c r="R186" s="214"/>
      <c r="AB186" s="215"/>
      <c r="AG186" s="215"/>
      <c r="AJ186" s="215"/>
    </row>
    <row r="187" spans="1:36" s="213" customFormat="1" x14ac:dyDescent="0.25">
      <c r="A187" s="212"/>
      <c r="C187" s="212"/>
      <c r="K187" s="212"/>
      <c r="L187" s="212"/>
      <c r="M187" s="212"/>
      <c r="R187" s="214"/>
      <c r="AB187" s="215"/>
      <c r="AG187" s="215"/>
      <c r="AJ187" s="215"/>
    </row>
    <row r="188" spans="1:36" s="213" customFormat="1" x14ac:dyDescent="0.25">
      <c r="A188" s="212"/>
      <c r="C188" s="212"/>
      <c r="K188" s="212"/>
      <c r="L188" s="212"/>
      <c r="M188" s="212"/>
      <c r="R188" s="214"/>
      <c r="AB188" s="215"/>
      <c r="AG188" s="215"/>
      <c r="AJ188" s="215"/>
    </row>
    <row r="189" spans="1:36" s="213" customFormat="1" x14ac:dyDescent="0.25">
      <c r="A189" s="212"/>
      <c r="C189" s="212"/>
      <c r="K189" s="212"/>
      <c r="L189" s="212"/>
      <c r="M189" s="212"/>
      <c r="R189" s="214"/>
      <c r="AB189" s="215"/>
      <c r="AG189" s="215"/>
      <c r="AJ189" s="215"/>
    </row>
    <row r="190" spans="1:36" s="213" customFormat="1" x14ac:dyDescent="0.25">
      <c r="A190" s="212"/>
      <c r="C190" s="212"/>
      <c r="K190" s="212"/>
      <c r="L190" s="212"/>
      <c r="M190" s="212"/>
      <c r="R190" s="214"/>
      <c r="AB190" s="215"/>
      <c r="AG190" s="215"/>
      <c r="AJ190" s="215"/>
    </row>
    <row r="191" spans="1:36" s="213" customFormat="1" x14ac:dyDescent="0.25">
      <c r="A191" s="212"/>
      <c r="C191" s="212"/>
      <c r="K191" s="212"/>
      <c r="L191" s="212"/>
      <c r="M191" s="212"/>
      <c r="R191" s="214"/>
      <c r="AB191" s="215"/>
      <c r="AG191" s="215"/>
      <c r="AJ191" s="215"/>
    </row>
    <row r="192" spans="1:36" s="213" customFormat="1" x14ac:dyDescent="0.25">
      <c r="A192" s="212"/>
      <c r="C192" s="212"/>
      <c r="K192" s="212"/>
      <c r="L192" s="212"/>
      <c r="M192" s="212"/>
      <c r="R192" s="214"/>
      <c r="AB192" s="215"/>
      <c r="AG192" s="215"/>
      <c r="AJ192" s="215"/>
    </row>
    <row r="193" spans="1:36" s="213" customFormat="1" x14ac:dyDescent="0.25">
      <c r="A193" s="212"/>
      <c r="C193" s="212"/>
      <c r="K193" s="212"/>
      <c r="L193" s="212"/>
      <c r="M193" s="212"/>
      <c r="R193" s="214"/>
      <c r="AB193" s="215"/>
      <c r="AG193" s="215"/>
      <c r="AJ193" s="215"/>
    </row>
    <row r="194" spans="1:36" s="213" customFormat="1" x14ac:dyDescent="0.25">
      <c r="A194" s="212"/>
      <c r="C194" s="212"/>
      <c r="K194" s="212"/>
      <c r="L194" s="212"/>
      <c r="M194" s="212"/>
      <c r="R194" s="214"/>
      <c r="AB194" s="215"/>
      <c r="AG194" s="215"/>
      <c r="AJ194" s="215"/>
    </row>
    <row r="195" spans="1:36" s="213" customFormat="1" x14ac:dyDescent="0.25">
      <c r="A195" s="212"/>
      <c r="C195" s="212"/>
      <c r="K195" s="212"/>
      <c r="L195" s="212"/>
      <c r="M195" s="212"/>
      <c r="R195" s="214"/>
      <c r="AB195" s="215"/>
      <c r="AG195" s="215"/>
      <c r="AJ195" s="215"/>
    </row>
    <row r="196" spans="1:36" s="213" customFormat="1" x14ac:dyDescent="0.25">
      <c r="A196" s="212"/>
      <c r="C196" s="212"/>
      <c r="K196" s="212"/>
      <c r="L196" s="212"/>
      <c r="M196" s="212"/>
      <c r="R196" s="214"/>
      <c r="AB196" s="215"/>
      <c r="AG196" s="215"/>
      <c r="AJ196" s="215"/>
    </row>
    <row r="197" spans="1:36" s="213" customFormat="1" x14ac:dyDescent="0.25">
      <c r="A197" s="212"/>
      <c r="C197" s="212"/>
      <c r="K197" s="212"/>
      <c r="L197" s="212"/>
      <c r="M197" s="212"/>
      <c r="R197" s="214"/>
      <c r="AB197" s="215"/>
      <c r="AG197" s="215"/>
      <c r="AJ197" s="215"/>
    </row>
    <row r="198" spans="1:36" s="213" customFormat="1" x14ac:dyDescent="0.25">
      <c r="A198" s="212"/>
      <c r="C198" s="212"/>
      <c r="K198" s="212"/>
      <c r="L198" s="212"/>
      <c r="M198" s="212"/>
      <c r="R198" s="214"/>
      <c r="AB198" s="215"/>
      <c r="AG198" s="215"/>
      <c r="AJ198" s="215"/>
    </row>
    <row r="199" spans="1:36" s="213" customFormat="1" x14ac:dyDescent="0.25">
      <c r="A199" s="212"/>
      <c r="C199" s="212"/>
      <c r="K199" s="212"/>
      <c r="L199" s="212"/>
      <c r="M199" s="212"/>
      <c r="R199" s="214"/>
      <c r="AB199" s="215"/>
      <c r="AG199" s="215"/>
      <c r="AJ199" s="215"/>
    </row>
    <row r="200" spans="1:36" s="213" customFormat="1" x14ac:dyDescent="0.25">
      <c r="A200" s="212"/>
      <c r="C200" s="212"/>
      <c r="K200" s="212"/>
      <c r="L200" s="212"/>
      <c r="M200" s="212"/>
      <c r="R200" s="214"/>
      <c r="AB200" s="215"/>
      <c r="AG200" s="215"/>
      <c r="AJ200" s="215"/>
    </row>
    <row r="201" spans="1:36" s="213" customFormat="1" x14ac:dyDescent="0.25">
      <c r="A201" s="212"/>
      <c r="C201" s="212"/>
      <c r="K201" s="212"/>
      <c r="L201" s="212"/>
      <c r="M201" s="212"/>
      <c r="R201" s="214"/>
      <c r="AB201" s="215"/>
      <c r="AG201" s="215"/>
      <c r="AJ201" s="215"/>
    </row>
    <row r="202" spans="1:36" s="213" customFormat="1" x14ac:dyDescent="0.25">
      <c r="A202" s="212"/>
      <c r="C202" s="212"/>
      <c r="K202" s="212"/>
      <c r="L202" s="212"/>
      <c r="M202" s="212"/>
      <c r="R202" s="214"/>
      <c r="AB202" s="215"/>
      <c r="AG202" s="215"/>
      <c r="AJ202" s="215"/>
    </row>
    <row r="203" spans="1:36" s="213" customFormat="1" x14ac:dyDescent="0.25">
      <c r="A203" s="212"/>
      <c r="C203" s="212"/>
      <c r="K203" s="212"/>
      <c r="L203" s="212"/>
      <c r="M203" s="212"/>
      <c r="R203" s="214"/>
      <c r="AB203" s="215"/>
      <c r="AG203" s="215"/>
      <c r="AJ203" s="215"/>
    </row>
    <row r="204" spans="1:36" s="213" customFormat="1" x14ac:dyDescent="0.25">
      <c r="A204" s="212"/>
      <c r="C204" s="212"/>
      <c r="K204" s="212"/>
      <c r="L204" s="212"/>
      <c r="M204" s="212"/>
      <c r="R204" s="214"/>
      <c r="AB204" s="215"/>
      <c r="AG204" s="215"/>
      <c r="AJ204" s="215"/>
    </row>
    <row r="205" spans="1:36" s="213" customFormat="1" x14ac:dyDescent="0.25">
      <c r="A205" s="212"/>
      <c r="C205" s="212"/>
      <c r="K205" s="212"/>
      <c r="L205" s="212"/>
      <c r="M205" s="212"/>
      <c r="R205" s="214"/>
      <c r="AB205" s="215"/>
      <c r="AG205" s="215"/>
      <c r="AJ205" s="215"/>
    </row>
    <row r="206" spans="1:36" s="213" customFormat="1" x14ac:dyDescent="0.25">
      <c r="A206" s="212"/>
      <c r="C206" s="212"/>
      <c r="K206" s="212"/>
      <c r="L206" s="212"/>
      <c r="M206" s="212"/>
      <c r="R206" s="214"/>
      <c r="AB206" s="215"/>
      <c r="AG206" s="215"/>
      <c r="AJ206" s="215"/>
    </row>
    <row r="207" spans="1:36" s="213" customFormat="1" x14ac:dyDescent="0.25">
      <c r="A207" s="212"/>
      <c r="C207" s="212"/>
      <c r="K207" s="212"/>
      <c r="L207" s="212"/>
      <c r="M207" s="212"/>
      <c r="R207" s="214"/>
      <c r="AB207" s="215"/>
      <c r="AG207" s="215"/>
      <c r="AJ207" s="215"/>
    </row>
    <row r="208" spans="1:36" s="213" customFormat="1" x14ac:dyDescent="0.25">
      <c r="A208" s="212"/>
      <c r="C208" s="212"/>
      <c r="K208" s="212"/>
      <c r="L208" s="212"/>
      <c r="M208" s="212"/>
      <c r="R208" s="214"/>
      <c r="AB208" s="215"/>
      <c r="AG208" s="215"/>
      <c r="AJ208" s="215"/>
    </row>
    <row r="209" spans="1:36" s="213" customFormat="1" x14ac:dyDescent="0.25">
      <c r="A209" s="212"/>
      <c r="C209" s="212"/>
      <c r="K209" s="212"/>
      <c r="L209" s="212"/>
      <c r="M209" s="212"/>
      <c r="R209" s="214"/>
      <c r="AB209" s="215"/>
      <c r="AG209" s="215"/>
      <c r="AJ209" s="215"/>
    </row>
    <row r="210" spans="1:36" s="213" customFormat="1" x14ac:dyDescent="0.25">
      <c r="A210" s="212"/>
      <c r="C210" s="212"/>
      <c r="K210" s="212"/>
      <c r="L210" s="212"/>
      <c r="M210" s="212"/>
      <c r="R210" s="214"/>
      <c r="AB210" s="215"/>
      <c r="AG210" s="215"/>
      <c r="AJ210" s="215"/>
    </row>
    <row r="211" spans="1:36" s="213" customFormat="1" x14ac:dyDescent="0.25">
      <c r="A211" s="212"/>
      <c r="C211" s="212"/>
      <c r="K211" s="212"/>
      <c r="L211" s="212"/>
      <c r="M211" s="212"/>
      <c r="R211" s="214"/>
      <c r="AB211" s="215"/>
      <c r="AG211" s="215"/>
      <c r="AJ211" s="215"/>
    </row>
    <row r="212" spans="1:36" s="213" customFormat="1" x14ac:dyDescent="0.25">
      <c r="A212" s="212"/>
      <c r="C212" s="212"/>
      <c r="K212" s="212"/>
      <c r="L212" s="212"/>
      <c r="M212" s="212"/>
      <c r="R212" s="214"/>
      <c r="AB212" s="215"/>
      <c r="AG212" s="215"/>
      <c r="AJ212" s="215"/>
    </row>
    <row r="213" spans="1:36" s="213" customFormat="1" x14ac:dyDescent="0.25">
      <c r="A213" s="212"/>
      <c r="C213" s="212"/>
      <c r="K213" s="212"/>
      <c r="L213" s="212"/>
      <c r="M213" s="212"/>
      <c r="R213" s="214"/>
      <c r="AB213" s="215"/>
      <c r="AG213" s="215"/>
      <c r="AJ213" s="215"/>
    </row>
    <row r="214" spans="1:36" s="213" customFormat="1" x14ac:dyDescent="0.25">
      <c r="A214" s="212"/>
      <c r="C214" s="212"/>
      <c r="K214" s="212"/>
      <c r="L214" s="212"/>
      <c r="M214" s="212"/>
      <c r="R214" s="214"/>
      <c r="AB214" s="215"/>
      <c r="AG214" s="215"/>
      <c r="AJ214" s="215"/>
    </row>
    <row r="215" spans="1:36" s="213" customFormat="1" x14ac:dyDescent="0.25">
      <c r="A215" s="212"/>
      <c r="C215" s="212"/>
      <c r="K215" s="212"/>
      <c r="L215" s="212"/>
      <c r="M215" s="212"/>
      <c r="R215" s="214"/>
      <c r="AB215" s="215"/>
      <c r="AG215" s="215"/>
      <c r="AJ215" s="215"/>
    </row>
    <row r="216" spans="1:36" s="213" customFormat="1" x14ac:dyDescent="0.25">
      <c r="A216" s="212"/>
      <c r="C216" s="212"/>
      <c r="K216" s="212"/>
      <c r="L216" s="212"/>
      <c r="M216" s="212"/>
      <c r="R216" s="214"/>
      <c r="AB216" s="215"/>
      <c r="AG216" s="215"/>
      <c r="AJ216" s="215"/>
    </row>
    <row r="217" spans="1:36" s="213" customFormat="1" x14ac:dyDescent="0.25">
      <c r="A217" s="212"/>
      <c r="C217" s="212"/>
      <c r="K217" s="212"/>
      <c r="L217" s="212"/>
      <c r="M217" s="212"/>
      <c r="R217" s="214"/>
      <c r="AB217" s="215"/>
      <c r="AG217" s="215"/>
      <c r="AJ217" s="215"/>
    </row>
    <row r="218" spans="1:36" s="213" customFormat="1" x14ac:dyDescent="0.25">
      <c r="A218" s="212"/>
      <c r="C218" s="212"/>
      <c r="K218" s="212"/>
      <c r="L218" s="212"/>
      <c r="M218" s="212"/>
      <c r="R218" s="214"/>
      <c r="AB218" s="215"/>
      <c r="AG218" s="215"/>
      <c r="AJ218" s="215"/>
    </row>
    <row r="219" spans="1:36" s="213" customFormat="1" x14ac:dyDescent="0.25">
      <c r="A219" s="212"/>
      <c r="C219" s="212"/>
      <c r="K219" s="212"/>
      <c r="L219" s="212"/>
      <c r="M219" s="212"/>
      <c r="R219" s="214"/>
      <c r="AB219" s="215"/>
      <c r="AG219" s="215"/>
      <c r="AJ219" s="215"/>
    </row>
    <row r="220" spans="1:36" s="213" customFormat="1" x14ac:dyDescent="0.25">
      <c r="A220" s="212"/>
      <c r="C220" s="212"/>
      <c r="K220" s="212"/>
      <c r="L220" s="212"/>
      <c r="M220" s="212"/>
      <c r="R220" s="214"/>
      <c r="AB220" s="215"/>
      <c r="AG220" s="215"/>
      <c r="AJ220" s="215"/>
    </row>
    <row r="221" spans="1:36" s="213" customFormat="1" x14ac:dyDescent="0.25">
      <c r="A221" s="212"/>
      <c r="C221" s="212"/>
      <c r="K221" s="212"/>
      <c r="L221" s="212"/>
      <c r="M221" s="212"/>
      <c r="R221" s="214"/>
      <c r="AB221" s="215"/>
      <c r="AG221" s="215"/>
      <c r="AJ221" s="215"/>
    </row>
    <row r="222" spans="1:36" s="213" customFormat="1" x14ac:dyDescent="0.25">
      <c r="A222" s="212"/>
      <c r="C222" s="212"/>
      <c r="K222" s="212"/>
      <c r="L222" s="212"/>
      <c r="M222" s="212"/>
      <c r="R222" s="214"/>
      <c r="AB222" s="215"/>
      <c r="AG222" s="215"/>
      <c r="AJ222" s="215"/>
    </row>
    <row r="223" spans="1:36" s="213" customFormat="1" x14ac:dyDescent="0.25">
      <c r="A223" s="212"/>
      <c r="C223" s="212"/>
      <c r="K223" s="212"/>
      <c r="L223" s="212"/>
      <c r="M223" s="212"/>
      <c r="R223" s="214"/>
      <c r="AB223" s="215"/>
      <c r="AG223" s="215"/>
      <c r="AJ223" s="215"/>
    </row>
    <row r="224" spans="1:36" s="213" customFormat="1" x14ac:dyDescent="0.25">
      <c r="A224" s="212"/>
      <c r="C224" s="212"/>
      <c r="K224" s="212"/>
      <c r="L224" s="212"/>
      <c r="M224" s="212"/>
      <c r="R224" s="214"/>
      <c r="AB224" s="215"/>
      <c r="AG224" s="215"/>
      <c r="AJ224" s="215"/>
    </row>
    <row r="225" spans="1:36" s="213" customFormat="1" x14ac:dyDescent="0.25">
      <c r="A225" s="212"/>
      <c r="C225" s="212"/>
      <c r="K225" s="212"/>
      <c r="L225" s="212"/>
      <c r="M225" s="212"/>
      <c r="R225" s="214"/>
      <c r="AB225" s="215"/>
      <c r="AG225" s="215"/>
      <c r="AJ225" s="215"/>
    </row>
    <row r="226" spans="1:36" s="213" customFormat="1" x14ac:dyDescent="0.25">
      <c r="A226" s="212"/>
      <c r="C226" s="212"/>
      <c r="K226" s="212"/>
      <c r="L226" s="212"/>
      <c r="M226" s="212"/>
      <c r="R226" s="214"/>
      <c r="AB226" s="215"/>
      <c r="AG226" s="215"/>
      <c r="AJ226" s="215"/>
    </row>
    <row r="227" spans="1:36" s="213" customFormat="1" x14ac:dyDescent="0.25">
      <c r="A227" s="212"/>
      <c r="C227" s="212"/>
      <c r="K227" s="212"/>
      <c r="L227" s="212"/>
      <c r="M227" s="212"/>
      <c r="R227" s="214"/>
      <c r="AB227" s="215"/>
      <c r="AG227" s="215"/>
      <c r="AJ227" s="215"/>
    </row>
    <row r="228" spans="1:36" s="213" customFormat="1" x14ac:dyDescent="0.25">
      <c r="A228" s="212"/>
      <c r="C228" s="212"/>
      <c r="K228" s="212"/>
      <c r="L228" s="212"/>
      <c r="M228" s="212"/>
      <c r="R228" s="214"/>
      <c r="AB228" s="215"/>
      <c r="AG228" s="215"/>
      <c r="AJ228" s="215"/>
    </row>
    <row r="229" spans="1:36" s="213" customFormat="1" x14ac:dyDescent="0.25">
      <c r="A229" s="212"/>
      <c r="C229" s="212"/>
      <c r="K229" s="212"/>
      <c r="L229" s="212"/>
      <c r="M229" s="212"/>
      <c r="R229" s="214"/>
      <c r="AB229" s="215"/>
      <c r="AG229" s="215"/>
      <c r="AJ229" s="215"/>
    </row>
    <row r="230" spans="1:36" s="213" customFormat="1" x14ac:dyDescent="0.25">
      <c r="A230" s="212"/>
      <c r="C230" s="212"/>
      <c r="K230" s="212"/>
      <c r="L230" s="212"/>
      <c r="M230" s="212"/>
      <c r="R230" s="214"/>
      <c r="AB230" s="215"/>
      <c r="AG230" s="215"/>
      <c r="AJ230" s="215"/>
    </row>
    <row r="231" spans="1:36" s="213" customFormat="1" x14ac:dyDescent="0.25">
      <c r="A231" s="212"/>
      <c r="C231" s="212"/>
      <c r="K231" s="212"/>
      <c r="L231" s="212"/>
      <c r="M231" s="212"/>
      <c r="R231" s="214"/>
      <c r="AB231" s="215"/>
      <c r="AG231" s="215"/>
      <c r="AJ231" s="215"/>
    </row>
    <row r="232" spans="1:36" s="213" customFormat="1" x14ac:dyDescent="0.25">
      <c r="A232" s="212"/>
      <c r="C232" s="212"/>
      <c r="K232" s="212"/>
      <c r="L232" s="212"/>
      <c r="M232" s="212"/>
      <c r="R232" s="214"/>
      <c r="AB232" s="215"/>
      <c r="AG232" s="215"/>
      <c r="AJ232" s="215"/>
    </row>
    <row r="233" spans="1:36" s="213" customFormat="1" x14ac:dyDescent="0.25">
      <c r="A233" s="212"/>
      <c r="C233" s="212"/>
      <c r="K233" s="212"/>
      <c r="L233" s="212"/>
      <c r="M233" s="212"/>
      <c r="R233" s="214"/>
      <c r="AB233" s="215"/>
      <c r="AG233" s="215"/>
      <c r="AJ233" s="215"/>
    </row>
    <row r="234" spans="1:36" s="213" customFormat="1" x14ac:dyDescent="0.25">
      <c r="A234" s="212"/>
      <c r="C234" s="212"/>
      <c r="K234" s="212"/>
      <c r="L234" s="212"/>
      <c r="M234" s="212"/>
      <c r="R234" s="214"/>
      <c r="AB234" s="215"/>
      <c r="AG234" s="215"/>
      <c r="AJ234" s="215"/>
    </row>
    <row r="235" spans="1:36" s="213" customFormat="1" x14ac:dyDescent="0.25">
      <c r="A235" s="212"/>
      <c r="C235" s="212"/>
      <c r="K235" s="212"/>
      <c r="L235" s="212"/>
      <c r="M235" s="212"/>
      <c r="R235" s="214"/>
      <c r="AB235" s="215"/>
      <c r="AG235" s="215"/>
      <c r="AJ235" s="215"/>
    </row>
    <row r="236" spans="1:36" s="213" customFormat="1" x14ac:dyDescent="0.25">
      <c r="A236" s="212"/>
      <c r="C236" s="212"/>
      <c r="K236" s="212"/>
      <c r="L236" s="212"/>
      <c r="M236" s="212"/>
      <c r="R236" s="214"/>
      <c r="AB236" s="215"/>
      <c r="AG236" s="215"/>
      <c r="AJ236" s="215"/>
    </row>
    <row r="237" spans="1:36" s="213" customFormat="1" x14ac:dyDescent="0.25">
      <c r="A237" s="212"/>
      <c r="C237" s="212"/>
      <c r="K237" s="212"/>
      <c r="L237" s="212"/>
      <c r="M237" s="212"/>
      <c r="R237" s="214"/>
      <c r="AB237" s="215"/>
      <c r="AG237" s="215"/>
      <c r="AJ237" s="215"/>
    </row>
    <row r="238" spans="1:36" s="213" customFormat="1" x14ac:dyDescent="0.25">
      <c r="A238" s="212"/>
      <c r="C238" s="212"/>
      <c r="K238" s="212"/>
      <c r="L238" s="212"/>
      <c r="M238" s="212"/>
      <c r="R238" s="214"/>
      <c r="AB238" s="215"/>
      <c r="AG238" s="215"/>
      <c r="AJ238" s="215"/>
    </row>
    <row r="239" spans="1:36" s="213" customFormat="1" x14ac:dyDescent="0.25">
      <c r="A239" s="212"/>
      <c r="C239" s="212"/>
      <c r="K239" s="212"/>
      <c r="L239" s="212"/>
      <c r="M239" s="212"/>
      <c r="R239" s="214"/>
      <c r="AB239" s="215"/>
      <c r="AG239" s="215"/>
      <c r="AJ239" s="215"/>
    </row>
    <row r="240" spans="1:36" s="213" customFormat="1" x14ac:dyDescent="0.25">
      <c r="A240" s="212"/>
      <c r="C240" s="212"/>
      <c r="K240" s="212"/>
      <c r="L240" s="212"/>
      <c r="M240" s="212"/>
      <c r="R240" s="214"/>
      <c r="AB240" s="215"/>
      <c r="AG240" s="215"/>
      <c r="AJ240" s="215"/>
    </row>
    <row r="241" spans="1:36" s="213" customFormat="1" x14ac:dyDescent="0.25">
      <c r="A241" s="212"/>
      <c r="C241" s="212"/>
      <c r="K241" s="212"/>
      <c r="L241" s="212"/>
      <c r="M241" s="212"/>
      <c r="R241" s="214"/>
      <c r="AB241" s="215"/>
      <c r="AG241" s="215"/>
      <c r="AJ241" s="215"/>
    </row>
    <row r="242" spans="1:36" s="213" customFormat="1" x14ac:dyDescent="0.25">
      <c r="A242" s="212"/>
      <c r="C242" s="212"/>
      <c r="K242" s="212"/>
      <c r="L242" s="212"/>
      <c r="M242" s="212"/>
      <c r="R242" s="214"/>
      <c r="AB242" s="215"/>
      <c r="AG242" s="215"/>
      <c r="AJ242" s="215"/>
    </row>
    <row r="243" spans="1:36" s="213" customFormat="1" x14ac:dyDescent="0.25">
      <c r="A243" s="212"/>
      <c r="C243" s="212"/>
      <c r="K243" s="212"/>
      <c r="L243" s="212"/>
      <c r="M243" s="212"/>
      <c r="R243" s="214"/>
      <c r="AB243" s="215"/>
      <c r="AG243" s="215"/>
      <c r="AJ243" s="215"/>
    </row>
    <row r="244" spans="1:36" s="213" customFormat="1" x14ac:dyDescent="0.25">
      <c r="A244" s="212"/>
      <c r="C244" s="212"/>
      <c r="K244" s="212"/>
      <c r="L244" s="212"/>
      <c r="M244" s="212"/>
      <c r="R244" s="214"/>
      <c r="AB244" s="215"/>
      <c r="AG244" s="215"/>
      <c r="AJ244" s="215"/>
    </row>
    <row r="245" spans="1:36" s="213" customFormat="1" x14ac:dyDescent="0.25">
      <c r="A245" s="212"/>
      <c r="C245" s="212"/>
      <c r="K245" s="212"/>
      <c r="L245" s="212"/>
      <c r="M245" s="212"/>
      <c r="R245" s="214"/>
      <c r="AB245" s="215"/>
      <c r="AG245" s="215"/>
      <c r="AJ245" s="215"/>
    </row>
    <row r="246" spans="1:36" s="213" customFormat="1" x14ac:dyDescent="0.25">
      <c r="A246" s="212"/>
      <c r="C246" s="212"/>
      <c r="K246" s="212"/>
      <c r="L246" s="212"/>
      <c r="M246" s="212"/>
      <c r="R246" s="214"/>
      <c r="AB246" s="215"/>
      <c r="AG246" s="215"/>
      <c r="AJ246" s="215"/>
    </row>
    <row r="247" spans="1:36" s="213" customFormat="1" x14ac:dyDescent="0.25">
      <c r="A247" s="212"/>
      <c r="C247" s="212"/>
      <c r="K247" s="212"/>
      <c r="L247" s="212"/>
      <c r="M247" s="212"/>
      <c r="R247" s="214"/>
      <c r="AB247" s="215"/>
      <c r="AG247" s="215"/>
      <c r="AJ247" s="215"/>
    </row>
    <row r="248" spans="1:36" s="213" customFormat="1" x14ac:dyDescent="0.25">
      <c r="A248" s="212"/>
      <c r="C248" s="212"/>
      <c r="K248" s="212"/>
      <c r="L248" s="212"/>
      <c r="M248" s="212"/>
      <c r="R248" s="214"/>
      <c r="AB248" s="215"/>
      <c r="AG248" s="215"/>
      <c r="AJ248" s="215"/>
    </row>
    <row r="249" spans="1:36" s="213" customFormat="1" x14ac:dyDescent="0.25">
      <c r="A249" s="212"/>
      <c r="C249" s="212"/>
      <c r="K249" s="212"/>
      <c r="L249" s="212"/>
      <c r="M249" s="212"/>
      <c r="R249" s="214"/>
      <c r="AB249" s="215"/>
      <c r="AG249" s="215"/>
      <c r="AJ249" s="215"/>
    </row>
    <row r="250" spans="1:36" s="213" customFormat="1" x14ac:dyDescent="0.25">
      <c r="A250" s="212"/>
      <c r="C250" s="212"/>
      <c r="K250" s="212"/>
      <c r="L250" s="212"/>
      <c r="M250" s="212"/>
      <c r="R250" s="214"/>
      <c r="AB250" s="215"/>
      <c r="AG250" s="215"/>
      <c r="AJ250" s="215"/>
    </row>
    <row r="251" spans="1:36" s="213" customFormat="1" x14ac:dyDescent="0.25">
      <c r="A251" s="212"/>
      <c r="C251" s="212"/>
      <c r="K251" s="212"/>
      <c r="L251" s="212"/>
      <c r="M251" s="212"/>
      <c r="R251" s="214"/>
      <c r="AB251" s="215"/>
      <c r="AG251" s="215"/>
      <c r="AJ251" s="215"/>
    </row>
    <row r="252" spans="1:36" s="213" customFormat="1" x14ac:dyDescent="0.25">
      <c r="A252" s="212"/>
      <c r="C252" s="212"/>
      <c r="K252" s="212"/>
      <c r="L252" s="212"/>
      <c r="M252" s="212"/>
      <c r="R252" s="214"/>
      <c r="AB252" s="215"/>
      <c r="AG252" s="215"/>
      <c r="AJ252" s="215"/>
    </row>
    <row r="253" spans="1:36" s="213" customFormat="1" x14ac:dyDescent="0.25">
      <c r="A253" s="212"/>
      <c r="C253" s="212"/>
      <c r="K253" s="212"/>
      <c r="L253" s="212"/>
      <c r="M253" s="212"/>
      <c r="R253" s="214"/>
      <c r="AB253" s="215"/>
      <c r="AG253" s="215"/>
      <c r="AJ253" s="215"/>
    </row>
    <row r="254" spans="1:36" s="213" customFormat="1" x14ac:dyDescent="0.25">
      <c r="A254" s="212"/>
      <c r="C254" s="212"/>
      <c r="K254" s="212"/>
      <c r="L254" s="212"/>
      <c r="M254" s="212"/>
      <c r="R254" s="214"/>
      <c r="AB254" s="215"/>
      <c r="AG254" s="215"/>
      <c r="AJ254" s="215"/>
    </row>
    <row r="255" spans="1:36" s="213" customFormat="1" x14ac:dyDescent="0.25">
      <c r="A255" s="212"/>
      <c r="C255" s="212"/>
      <c r="K255" s="212"/>
      <c r="L255" s="212"/>
      <c r="M255" s="212"/>
      <c r="R255" s="214"/>
      <c r="AB255" s="215"/>
      <c r="AG255" s="215"/>
      <c r="AJ255" s="215"/>
    </row>
    <row r="256" spans="1:36" s="213" customFormat="1" x14ac:dyDescent="0.25">
      <c r="A256" s="212"/>
      <c r="C256" s="212"/>
      <c r="K256" s="212"/>
      <c r="L256" s="212"/>
      <c r="M256" s="212"/>
      <c r="R256" s="214"/>
      <c r="AB256" s="215"/>
      <c r="AG256" s="215"/>
      <c r="AJ256" s="215"/>
    </row>
    <row r="257" spans="1:36" s="213" customFormat="1" x14ac:dyDescent="0.25">
      <c r="A257" s="212"/>
      <c r="C257" s="212"/>
      <c r="K257" s="212"/>
      <c r="L257" s="212"/>
      <c r="M257" s="212"/>
      <c r="R257" s="214"/>
      <c r="AB257" s="215"/>
      <c r="AG257" s="215"/>
      <c r="AJ257" s="215"/>
    </row>
    <row r="258" spans="1:36" s="213" customFormat="1" x14ac:dyDescent="0.25">
      <c r="A258" s="212"/>
      <c r="C258" s="212"/>
      <c r="K258" s="212"/>
      <c r="L258" s="212"/>
      <c r="M258" s="212"/>
      <c r="R258" s="214"/>
      <c r="AB258" s="215"/>
      <c r="AG258" s="215"/>
      <c r="AJ258" s="215"/>
    </row>
    <row r="259" spans="1:36" s="213" customFormat="1" x14ac:dyDescent="0.25">
      <c r="A259" s="212"/>
      <c r="C259" s="212"/>
      <c r="K259" s="212"/>
      <c r="L259" s="212"/>
      <c r="M259" s="212"/>
      <c r="R259" s="214"/>
      <c r="AB259" s="215"/>
      <c r="AG259" s="215"/>
      <c r="AJ259" s="215"/>
    </row>
    <row r="260" spans="1:36" s="213" customFormat="1" x14ac:dyDescent="0.25">
      <c r="A260" s="212"/>
      <c r="C260" s="212"/>
      <c r="K260" s="212"/>
      <c r="L260" s="212"/>
      <c r="M260" s="212"/>
      <c r="R260" s="214"/>
      <c r="AB260" s="215"/>
      <c r="AG260" s="215"/>
      <c r="AJ260" s="215"/>
    </row>
    <row r="261" spans="1:36" s="213" customFormat="1" x14ac:dyDescent="0.25">
      <c r="A261" s="212"/>
      <c r="C261" s="212"/>
      <c r="K261" s="212"/>
      <c r="L261" s="212"/>
      <c r="M261" s="212"/>
      <c r="R261" s="214"/>
      <c r="AB261" s="215"/>
      <c r="AG261" s="215"/>
      <c r="AJ261" s="215"/>
    </row>
    <row r="262" spans="1:36" s="213" customFormat="1" x14ac:dyDescent="0.25">
      <c r="A262" s="212"/>
      <c r="C262" s="212"/>
      <c r="K262" s="212"/>
      <c r="L262" s="212"/>
      <c r="M262" s="212"/>
      <c r="R262" s="214"/>
      <c r="AB262" s="215"/>
      <c r="AG262" s="215"/>
      <c r="AJ262" s="215"/>
    </row>
    <row r="263" spans="1:36" s="213" customFormat="1" x14ac:dyDescent="0.25">
      <c r="A263" s="212"/>
      <c r="C263" s="212"/>
      <c r="K263" s="212"/>
      <c r="L263" s="212"/>
      <c r="M263" s="212"/>
      <c r="R263" s="214"/>
      <c r="AB263" s="215"/>
      <c r="AG263" s="215"/>
      <c r="AJ263" s="215"/>
    </row>
    <row r="264" spans="1:36" s="213" customFormat="1" x14ac:dyDescent="0.25">
      <c r="A264" s="212"/>
      <c r="C264" s="212"/>
      <c r="K264" s="212"/>
      <c r="L264" s="212"/>
      <c r="M264" s="212"/>
      <c r="R264" s="214"/>
      <c r="AB264" s="215"/>
      <c r="AG264" s="215"/>
      <c r="AJ264" s="215"/>
    </row>
    <row r="265" spans="1:36" s="213" customFormat="1" x14ac:dyDescent="0.25">
      <c r="A265" s="212"/>
      <c r="C265" s="212"/>
      <c r="K265" s="212"/>
      <c r="L265" s="212"/>
      <c r="M265" s="212"/>
      <c r="R265" s="214"/>
      <c r="AB265" s="215"/>
      <c r="AG265" s="215"/>
      <c r="AJ265" s="215"/>
    </row>
    <row r="266" spans="1:36" s="213" customFormat="1" x14ac:dyDescent="0.25">
      <c r="A266" s="212"/>
      <c r="C266" s="212"/>
      <c r="K266" s="212"/>
      <c r="L266" s="212"/>
      <c r="M266" s="212"/>
      <c r="R266" s="214"/>
      <c r="AB266" s="215"/>
      <c r="AG266" s="215"/>
      <c r="AJ266" s="215"/>
    </row>
    <row r="267" spans="1:36" s="213" customFormat="1" x14ac:dyDescent="0.25">
      <c r="A267" s="212"/>
      <c r="C267" s="212"/>
      <c r="K267" s="212"/>
      <c r="L267" s="212"/>
      <c r="M267" s="212"/>
      <c r="R267" s="214"/>
      <c r="AB267" s="215"/>
      <c r="AG267" s="215"/>
      <c r="AJ267" s="215"/>
    </row>
    <row r="268" spans="1:36" s="213" customFormat="1" x14ac:dyDescent="0.25">
      <c r="A268" s="212"/>
      <c r="C268" s="212"/>
      <c r="K268" s="212"/>
      <c r="L268" s="212"/>
      <c r="M268" s="212"/>
      <c r="R268" s="214"/>
      <c r="AB268" s="215"/>
      <c r="AG268" s="215"/>
      <c r="AJ268" s="215"/>
    </row>
    <row r="269" spans="1:36" s="213" customFormat="1" x14ac:dyDescent="0.25">
      <c r="A269" s="212"/>
      <c r="C269" s="212"/>
      <c r="K269" s="212"/>
      <c r="L269" s="212"/>
      <c r="M269" s="212"/>
      <c r="R269" s="214"/>
      <c r="AB269" s="215"/>
      <c r="AG269" s="215"/>
      <c r="AJ269" s="215"/>
    </row>
    <row r="270" spans="1:36" s="213" customFormat="1" x14ac:dyDescent="0.25">
      <c r="A270" s="212"/>
      <c r="C270" s="212"/>
      <c r="K270" s="212"/>
      <c r="L270" s="212"/>
      <c r="M270" s="212"/>
      <c r="R270" s="214"/>
      <c r="AB270" s="215"/>
      <c r="AG270" s="215"/>
      <c r="AJ270" s="215"/>
    </row>
    <row r="271" spans="1:36" s="213" customFormat="1" x14ac:dyDescent="0.25">
      <c r="A271" s="212"/>
      <c r="C271" s="212"/>
      <c r="K271" s="212"/>
      <c r="L271" s="212"/>
      <c r="M271" s="212"/>
      <c r="R271" s="214"/>
      <c r="AB271" s="215"/>
      <c r="AG271" s="215"/>
      <c r="AJ271" s="215"/>
    </row>
    <row r="272" spans="1:36" s="213" customFormat="1" x14ac:dyDescent="0.25">
      <c r="A272" s="212"/>
      <c r="C272" s="212"/>
      <c r="K272" s="212"/>
      <c r="L272" s="212"/>
      <c r="M272" s="212"/>
      <c r="R272" s="214"/>
      <c r="AB272" s="215"/>
      <c r="AG272" s="215"/>
      <c r="AJ272" s="215"/>
    </row>
    <row r="273" spans="1:36" s="213" customFormat="1" x14ac:dyDescent="0.25">
      <c r="A273" s="212"/>
      <c r="C273" s="212"/>
      <c r="K273" s="212"/>
      <c r="L273" s="212"/>
      <c r="M273" s="212"/>
      <c r="R273" s="214"/>
      <c r="AB273" s="215"/>
      <c r="AG273" s="215"/>
      <c r="AJ273" s="215"/>
    </row>
    <row r="274" spans="1:36" s="213" customFormat="1" x14ac:dyDescent="0.25">
      <c r="A274" s="212"/>
      <c r="C274" s="212"/>
      <c r="K274" s="212"/>
      <c r="L274" s="212"/>
      <c r="M274" s="212"/>
      <c r="R274" s="214"/>
      <c r="AB274" s="215"/>
      <c r="AG274" s="215"/>
      <c r="AJ274" s="215"/>
    </row>
    <row r="275" spans="1:36" s="213" customFormat="1" x14ac:dyDescent="0.25">
      <c r="A275" s="212"/>
      <c r="C275" s="212"/>
      <c r="K275" s="212"/>
      <c r="L275" s="212"/>
      <c r="M275" s="212"/>
      <c r="R275" s="214"/>
      <c r="AB275" s="215"/>
      <c r="AG275" s="215"/>
      <c r="AJ275" s="215"/>
    </row>
    <row r="276" spans="1:36" s="213" customFormat="1" x14ac:dyDescent="0.25">
      <c r="A276" s="212"/>
      <c r="C276" s="212"/>
      <c r="K276" s="212"/>
      <c r="L276" s="212"/>
      <c r="M276" s="212"/>
      <c r="R276" s="214"/>
      <c r="AB276" s="215"/>
      <c r="AG276" s="215"/>
      <c r="AJ276" s="215"/>
    </row>
    <row r="277" spans="1:36" s="213" customFormat="1" x14ac:dyDescent="0.25">
      <c r="A277" s="212"/>
      <c r="C277" s="212"/>
      <c r="K277" s="212"/>
      <c r="L277" s="212"/>
      <c r="M277" s="212"/>
      <c r="R277" s="214"/>
      <c r="AB277" s="215"/>
      <c r="AG277" s="215"/>
      <c r="AJ277" s="215"/>
    </row>
    <row r="278" spans="1:36" s="213" customFormat="1" x14ac:dyDescent="0.25">
      <c r="A278" s="212"/>
      <c r="C278" s="212"/>
      <c r="K278" s="212"/>
      <c r="L278" s="212"/>
      <c r="M278" s="212"/>
      <c r="R278" s="214"/>
      <c r="AB278" s="215"/>
      <c r="AG278" s="215"/>
      <c r="AJ278" s="215"/>
    </row>
    <row r="279" spans="1:36" s="213" customFormat="1" x14ac:dyDescent="0.25">
      <c r="A279" s="212"/>
      <c r="C279" s="212"/>
      <c r="K279" s="212"/>
      <c r="L279" s="212"/>
      <c r="M279" s="212"/>
      <c r="R279" s="214"/>
      <c r="AB279" s="215"/>
      <c r="AG279" s="215"/>
      <c r="AJ279" s="215"/>
    </row>
    <row r="280" spans="1:36" s="213" customFormat="1" x14ac:dyDescent="0.25">
      <c r="A280" s="212"/>
      <c r="C280" s="212"/>
      <c r="K280" s="212"/>
      <c r="L280" s="212"/>
      <c r="M280" s="212"/>
      <c r="R280" s="214"/>
      <c r="AB280" s="215"/>
      <c r="AG280" s="215"/>
      <c r="AJ280" s="215"/>
    </row>
    <row r="281" spans="1:36" s="213" customFormat="1" x14ac:dyDescent="0.25">
      <c r="A281" s="212"/>
      <c r="C281" s="212"/>
      <c r="K281" s="212"/>
      <c r="L281" s="212"/>
      <c r="M281" s="212"/>
      <c r="R281" s="214"/>
      <c r="AB281" s="215"/>
      <c r="AG281" s="215"/>
      <c r="AJ281" s="215"/>
    </row>
    <row r="282" spans="1:36" s="213" customFormat="1" x14ac:dyDescent="0.25">
      <c r="A282" s="212"/>
      <c r="C282" s="212"/>
      <c r="K282" s="212"/>
      <c r="L282" s="212"/>
      <c r="M282" s="212"/>
      <c r="R282" s="214"/>
      <c r="AB282" s="215"/>
      <c r="AG282" s="215"/>
      <c r="AJ282" s="215"/>
    </row>
    <row r="283" spans="1:36" s="213" customFormat="1" x14ac:dyDescent="0.25">
      <c r="A283" s="212"/>
      <c r="C283" s="212"/>
      <c r="K283" s="212"/>
      <c r="L283" s="212"/>
      <c r="M283" s="212"/>
      <c r="R283" s="214"/>
      <c r="AB283" s="215"/>
      <c r="AG283" s="215"/>
      <c r="AJ283" s="215"/>
    </row>
    <row r="284" spans="1:36" s="213" customFormat="1" x14ac:dyDescent="0.25">
      <c r="A284" s="212"/>
      <c r="C284" s="212"/>
      <c r="K284" s="212"/>
      <c r="L284" s="212"/>
      <c r="M284" s="212"/>
      <c r="R284" s="214"/>
      <c r="AB284" s="215"/>
      <c r="AG284" s="215"/>
      <c r="AJ284" s="215"/>
    </row>
    <row r="285" spans="1:36" s="213" customFormat="1" x14ac:dyDescent="0.25">
      <c r="A285" s="212"/>
      <c r="C285" s="212"/>
      <c r="K285" s="212"/>
      <c r="L285" s="212"/>
      <c r="M285" s="212"/>
      <c r="R285" s="214"/>
      <c r="AB285" s="215"/>
      <c r="AG285" s="215"/>
      <c r="AJ285" s="215"/>
    </row>
    <row r="286" spans="1:36" s="213" customFormat="1" x14ac:dyDescent="0.25">
      <c r="A286" s="212"/>
      <c r="C286" s="212"/>
      <c r="K286" s="212"/>
      <c r="L286" s="212"/>
      <c r="M286" s="212"/>
      <c r="R286" s="214"/>
      <c r="AB286" s="215"/>
      <c r="AG286" s="215"/>
      <c r="AJ286" s="215"/>
    </row>
    <row r="287" spans="1:36" s="213" customFormat="1" x14ac:dyDescent="0.25">
      <c r="A287" s="212"/>
      <c r="C287" s="212"/>
      <c r="K287" s="212"/>
      <c r="L287" s="212"/>
      <c r="M287" s="212"/>
      <c r="R287" s="214"/>
      <c r="AB287" s="215"/>
      <c r="AG287" s="215"/>
      <c r="AJ287" s="215"/>
    </row>
    <row r="288" spans="1:36" s="213" customFormat="1" x14ac:dyDescent="0.25">
      <c r="A288" s="212"/>
      <c r="C288" s="212"/>
      <c r="K288" s="212"/>
      <c r="L288" s="212"/>
      <c r="M288" s="212"/>
      <c r="R288" s="214"/>
      <c r="AB288" s="215"/>
      <c r="AG288" s="215"/>
      <c r="AJ288" s="215"/>
    </row>
    <row r="289" spans="1:36" s="213" customFormat="1" x14ac:dyDescent="0.25">
      <c r="A289" s="212"/>
      <c r="C289" s="212"/>
      <c r="K289" s="212"/>
      <c r="L289" s="212"/>
      <c r="M289" s="212"/>
      <c r="R289" s="214"/>
      <c r="AB289" s="215"/>
      <c r="AG289" s="215"/>
      <c r="AJ289" s="215"/>
    </row>
    <row r="290" spans="1:36" s="213" customFormat="1" x14ac:dyDescent="0.25">
      <c r="A290" s="212"/>
      <c r="C290" s="212"/>
      <c r="K290" s="212"/>
      <c r="L290" s="212"/>
      <c r="M290" s="212"/>
      <c r="R290" s="214"/>
      <c r="AB290" s="215"/>
      <c r="AG290" s="215"/>
      <c r="AJ290" s="215"/>
    </row>
    <row r="291" spans="1:36" s="213" customFormat="1" x14ac:dyDescent="0.25">
      <c r="A291" s="212"/>
      <c r="C291" s="212"/>
      <c r="K291" s="212"/>
      <c r="L291" s="212"/>
      <c r="M291" s="212"/>
      <c r="R291" s="214"/>
      <c r="AB291" s="215"/>
      <c r="AG291" s="215"/>
      <c r="AJ291" s="215"/>
    </row>
    <row r="292" spans="1:36" s="213" customFormat="1" x14ac:dyDescent="0.25">
      <c r="A292" s="212"/>
      <c r="C292" s="212"/>
      <c r="K292" s="212"/>
      <c r="L292" s="212"/>
      <c r="M292" s="212"/>
      <c r="R292" s="214"/>
      <c r="AB292" s="215"/>
      <c r="AG292" s="215"/>
      <c r="AJ292" s="215"/>
    </row>
    <row r="293" spans="1:36" s="213" customFormat="1" x14ac:dyDescent="0.25">
      <c r="A293" s="212"/>
      <c r="C293" s="212"/>
      <c r="K293" s="212"/>
      <c r="L293" s="212"/>
      <c r="M293" s="212"/>
      <c r="R293" s="214"/>
      <c r="AB293" s="215"/>
      <c r="AG293" s="215"/>
      <c r="AJ293" s="215"/>
    </row>
    <row r="294" spans="1:36" s="213" customFormat="1" x14ac:dyDescent="0.25">
      <c r="A294" s="212"/>
      <c r="C294" s="212"/>
      <c r="K294" s="212"/>
      <c r="L294" s="212"/>
      <c r="M294" s="212"/>
      <c r="R294" s="214"/>
      <c r="AB294" s="215"/>
      <c r="AG294" s="215"/>
      <c r="AJ294" s="215"/>
    </row>
    <row r="295" spans="1:36" s="213" customFormat="1" x14ac:dyDescent="0.25">
      <c r="A295" s="212"/>
      <c r="C295" s="212"/>
      <c r="K295" s="212"/>
      <c r="L295" s="212"/>
      <c r="M295" s="212"/>
      <c r="R295" s="214"/>
      <c r="AB295" s="215"/>
      <c r="AG295" s="215"/>
      <c r="AJ295" s="215"/>
    </row>
    <row r="296" spans="1:36" s="213" customFormat="1" x14ac:dyDescent="0.25">
      <c r="A296" s="212"/>
      <c r="C296" s="212"/>
      <c r="K296" s="212"/>
      <c r="L296" s="212"/>
      <c r="M296" s="212"/>
      <c r="R296" s="214"/>
      <c r="AB296" s="215"/>
      <c r="AG296" s="215"/>
      <c r="AJ296" s="215"/>
    </row>
    <row r="297" spans="1:36" s="213" customFormat="1" x14ac:dyDescent="0.25">
      <c r="A297" s="212"/>
      <c r="C297" s="212"/>
      <c r="K297" s="212"/>
      <c r="L297" s="212"/>
      <c r="M297" s="212"/>
      <c r="R297" s="214"/>
      <c r="AB297" s="215"/>
      <c r="AG297" s="215"/>
      <c r="AJ297" s="215"/>
    </row>
    <row r="298" spans="1:36" s="213" customFormat="1" x14ac:dyDescent="0.25">
      <c r="A298" s="212"/>
      <c r="C298" s="212"/>
      <c r="K298" s="212"/>
      <c r="L298" s="212"/>
      <c r="M298" s="212"/>
      <c r="R298" s="214"/>
      <c r="AB298" s="215"/>
      <c r="AG298" s="215"/>
      <c r="AJ298" s="215"/>
    </row>
    <row r="299" spans="1:36" s="213" customFormat="1" x14ac:dyDescent="0.25">
      <c r="A299" s="212"/>
      <c r="C299" s="212"/>
      <c r="K299" s="212"/>
      <c r="L299" s="212"/>
      <c r="M299" s="212"/>
      <c r="R299" s="214"/>
      <c r="AB299" s="215"/>
      <c r="AG299" s="215"/>
      <c r="AJ299" s="215"/>
    </row>
    <row r="300" spans="1:36" s="213" customFormat="1" x14ac:dyDescent="0.25">
      <c r="A300" s="212"/>
      <c r="C300" s="212"/>
      <c r="K300" s="212"/>
      <c r="L300" s="212"/>
      <c r="M300" s="212"/>
      <c r="R300" s="214"/>
      <c r="AB300" s="215"/>
      <c r="AG300" s="215"/>
      <c r="AJ300" s="215"/>
    </row>
    <row r="301" spans="1:36" s="213" customFormat="1" x14ac:dyDescent="0.25">
      <c r="A301" s="212"/>
      <c r="C301" s="212"/>
      <c r="K301" s="212"/>
      <c r="L301" s="212"/>
      <c r="M301" s="212"/>
      <c r="R301" s="214"/>
      <c r="AB301" s="215"/>
      <c r="AG301" s="215"/>
      <c r="AJ301" s="215"/>
    </row>
    <row r="302" spans="1:36" s="213" customFormat="1" x14ac:dyDescent="0.25">
      <c r="A302" s="212"/>
      <c r="C302" s="212"/>
      <c r="K302" s="212"/>
      <c r="L302" s="212"/>
      <c r="M302" s="212"/>
      <c r="R302" s="214"/>
      <c r="AB302" s="215"/>
      <c r="AG302" s="215"/>
      <c r="AJ302" s="215"/>
    </row>
    <row r="303" spans="1:36" s="213" customFormat="1" x14ac:dyDescent="0.25">
      <c r="A303" s="212"/>
      <c r="C303" s="212"/>
      <c r="K303" s="212"/>
      <c r="L303" s="212"/>
      <c r="M303" s="212"/>
      <c r="R303" s="214"/>
      <c r="AB303" s="215"/>
      <c r="AG303" s="215"/>
      <c r="AJ303" s="215"/>
    </row>
    <row r="304" spans="1:36" s="213" customFormat="1" x14ac:dyDescent="0.25">
      <c r="A304" s="212"/>
      <c r="C304" s="212"/>
      <c r="K304" s="212"/>
      <c r="L304" s="212"/>
      <c r="M304" s="212"/>
      <c r="R304" s="214"/>
      <c r="AB304" s="215"/>
      <c r="AG304" s="215"/>
      <c r="AJ304" s="215"/>
    </row>
    <row r="305" spans="1:36" s="213" customFormat="1" x14ac:dyDescent="0.25">
      <c r="A305" s="212"/>
      <c r="C305" s="212"/>
      <c r="K305" s="212"/>
      <c r="L305" s="212"/>
      <c r="M305" s="212"/>
      <c r="R305" s="214"/>
      <c r="AB305" s="215"/>
      <c r="AG305" s="215"/>
      <c r="AJ305" s="215"/>
    </row>
    <row r="306" spans="1:36" s="213" customFormat="1" x14ac:dyDescent="0.25">
      <c r="A306" s="212"/>
      <c r="C306" s="212"/>
      <c r="K306" s="212"/>
      <c r="L306" s="212"/>
      <c r="M306" s="212"/>
      <c r="R306" s="214"/>
      <c r="AB306" s="215"/>
      <c r="AG306" s="215"/>
      <c r="AJ306" s="215"/>
    </row>
    <row r="307" spans="1:36" s="213" customFormat="1" x14ac:dyDescent="0.25">
      <c r="A307" s="212"/>
      <c r="C307" s="212"/>
      <c r="K307" s="212"/>
      <c r="L307" s="212"/>
      <c r="M307" s="212"/>
      <c r="R307" s="214"/>
      <c r="AB307" s="215"/>
      <c r="AG307" s="215"/>
      <c r="AJ307" s="215"/>
    </row>
    <row r="308" spans="1:36" s="213" customFormat="1" x14ac:dyDescent="0.25">
      <c r="A308" s="212"/>
      <c r="C308" s="212"/>
      <c r="K308" s="212"/>
      <c r="L308" s="212"/>
      <c r="M308" s="212"/>
      <c r="R308" s="214"/>
      <c r="AB308" s="215"/>
      <c r="AG308" s="215"/>
      <c r="AJ308" s="215"/>
    </row>
    <row r="309" spans="1:36" s="213" customFormat="1" x14ac:dyDescent="0.25">
      <c r="A309" s="212"/>
      <c r="C309" s="212"/>
      <c r="K309" s="212"/>
      <c r="L309" s="212"/>
      <c r="M309" s="212"/>
      <c r="R309" s="214"/>
      <c r="AB309" s="215"/>
      <c r="AG309" s="215"/>
      <c r="AJ309" s="215"/>
    </row>
    <row r="310" spans="1:36" s="213" customFormat="1" x14ac:dyDescent="0.25">
      <c r="A310" s="212"/>
      <c r="C310" s="212"/>
      <c r="K310" s="212"/>
      <c r="L310" s="212"/>
      <c r="M310" s="212"/>
      <c r="R310" s="214"/>
      <c r="AB310" s="215"/>
      <c r="AG310" s="215"/>
      <c r="AJ310" s="215"/>
    </row>
    <row r="311" spans="1:36" s="213" customFormat="1" x14ac:dyDescent="0.25">
      <c r="A311" s="212"/>
      <c r="C311" s="212"/>
      <c r="K311" s="212"/>
      <c r="L311" s="212"/>
      <c r="M311" s="212"/>
      <c r="R311" s="214"/>
      <c r="AB311" s="215"/>
      <c r="AG311" s="215"/>
      <c r="AJ311" s="215"/>
    </row>
    <row r="312" spans="1:36" s="213" customFormat="1" x14ac:dyDescent="0.25">
      <c r="A312" s="212"/>
      <c r="C312" s="212"/>
      <c r="K312" s="212"/>
      <c r="L312" s="212"/>
      <c r="M312" s="212"/>
      <c r="R312" s="214"/>
      <c r="AB312" s="215"/>
      <c r="AG312" s="215"/>
      <c r="AJ312" s="215"/>
    </row>
    <row r="313" spans="1:36" s="213" customFormat="1" x14ac:dyDescent="0.25">
      <c r="A313" s="212"/>
      <c r="C313" s="212"/>
      <c r="K313" s="212"/>
      <c r="L313" s="212"/>
      <c r="M313" s="212"/>
      <c r="R313" s="214"/>
      <c r="AB313" s="215"/>
      <c r="AG313" s="215"/>
      <c r="AJ313" s="215"/>
    </row>
    <row r="314" spans="1:36" s="213" customFormat="1" x14ac:dyDescent="0.25">
      <c r="A314" s="212"/>
      <c r="C314" s="212"/>
      <c r="K314" s="212"/>
      <c r="L314" s="212"/>
      <c r="M314" s="212"/>
      <c r="R314" s="214"/>
      <c r="AB314" s="215"/>
      <c r="AG314" s="215"/>
      <c r="AJ314" s="215"/>
    </row>
    <row r="315" spans="1:36" s="213" customFormat="1" x14ac:dyDescent="0.25">
      <c r="A315" s="212"/>
      <c r="C315" s="212"/>
      <c r="K315" s="212"/>
      <c r="L315" s="212"/>
      <c r="M315" s="212"/>
      <c r="R315" s="214"/>
      <c r="AB315" s="215"/>
      <c r="AG315" s="215"/>
      <c r="AJ315" s="215"/>
    </row>
    <row r="316" spans="1:36" s="213" customFormat="1" x14ac:dyDescent="0.25">
      <c r="A316" s="212"/>
      <c r="C316" s="212"/>
      <c r="K316" s="212"/>
      <c r="L316" s="212"/>
      <c r="M316" s="212"/>
      <c r="R316" s="214"/>
      <c r="AB316" s="215"/>
      <c r="AG316" s="215"/>
      <c r="AJ316" s="215"/>
    </row>
    <row r="317" spans="1:36" s="213" customFormat="1" x14ac:dyDescent="0.25">
      <c r="A317" s="212"/>
      <c r="C317" s="212"/>
      <c r="K317" s="212"/>
      <c r="L317" s="212"/>
      <c r="M317" s="212"/>
      <c r="R317" s="214"/>
      <c r="AB317" s="215"/>
      <c r="AG317" s="215"/>
      <c r="AJ317" s="215"/>
    </row>
    <row r="318" spans="1:36" s="213" customFormat="1" x14ac:dyDescent="0.25">
      <c r="A318" s="212"/>
      <c r="C318" s="212"/>
      <c r="K318" s="212"/>
      <c r="L318" s="212"/>
      <c r="M318" s="212"/>
      <c r="R318" s="214"/>
      <c r="AB318" s="215"/>
      <c r="AG318" s="215"/>
      <c r="AJ318" s="215"/>
    </row>
    <row r="319" spans="1:36" s="213" customFormat="1" x14ac:dyDescent="0.25">
      <c r="A319" s="212"/>
      <c r="C319" s="212"/>
      <c r="K319" s="212"/>
      <c r="L319" s="212"/>
      <c r="M319" s="212"/>
      <c r="R319" s="214"/>
      <c r="AB319" s="215"/>
      <c r="AG319" s="215"/>
      <c r="AJ319" s="215"/>
    </row>
    <row r="320" spans="1:36" s="213" customFormat="1" x14ac:dyDescent="0.25">
      <c r="A320" s="212"/>
      <c r="C320" s="212"/>
      <c r="K320" s="212"/>
      <c r="L320" s="212"/>
      <c r="M320" s="212"/>
      <c r="R320" s="214"/>
      <c r="AB320" s="215"/>
      <c r="AG320" s="215"/>
      <c r="AJ320" s="215"/>
    </row>
    <row r="321" spans="1:36" s="213" customFormat="1" x14ac:dyDescent="0.25">
      <c r="A321" s="212"/>
      <c r="C321" s="212"/>
      <c r="K321" s="212"/>
      <c r="L321" s="212"/>
      <c r="M321" s="212"/>
      <c r="R321" s="214"/>
      <c r="AB321" s="215"/>
      <c r="AG321" s="215"/>
      <c r="AJ321" s="215"/>
    </row>
    <row r="322" spans="1:36" s="213" customFormat="1" x14ac:dyDescent="0.25">
      <c r="A322" s="212"/>
      <c r="C322" s="212"/>
      <c r="K322" s="212"/>
      <c r="L322" s="212"/>
      <c r="M322" s="212"/>
      <c r="R322" s="214"/>
      <c r="AB322" s="215"/>
      <c r="AG322" s="215"/>
      <c r="AJ322" s="215"/>
    </row>
    <row r="323" spans="1:36" s="213" customFormat="1" x14ac:dyDescent="0.25">
      <c r="A323" s="212"/>
      <c r="C323" s="212"/>
      <c r="K323" s="212"/>
      <c r="L323" s="212"/>
      <c r="M323" s="212"/>
      <c r="R323" s="214"/>
      <c r="AB323" s="215"/>
      <c r="AG323" s="215"/>
      <c r="AJ323" s="215"/>
    </row>
    <row r="324" spans="1:36" s="213" customFormat="1" x14ac:dyDescent="0.25">
      <c r="A324" s="212"/>
      <c r="C324" s="212"/>
      <c r="K324" s="212"/>
      <c r="L324" s="212"/>
      <c r="M324" s="212"/>
      <c r="R324" s="214"/>
      <c r="AB324" s="215"/>
      <c r="AG324" s="215"/>
      <c r="AJ324" s="215"/>
    </row>
    <row r="325" spans="1:36" s="213" customFormat="1" x14ac:dyDescent="0.25">
      <c r="A325" s="212"/>
      <c r="C325" s="212"/>
      <c r="K325" s="212"/>
      <c r="L325" s="212"/>
      <c r="M325" s="212"/>
      <c r="R325" s="214"/>
      <c r="AB325" s="215"/>
      <c r="AG325" s="215"/>
      <c r="AJ325" s="215"/>
    </row>
    <row r="326" spans="1:36" s="213" customFormat="1" x14ac:dyDescent="0.25">
      <c r="A326" s="212"/>
      <c r="C326" s="212"/>
      <c r="K326" s="212"/>
      <c r="L326" s="212"/>
      <c r="M326" s="212"/>
      <c r="R326" s="214"/>
      <c r="AB326" s="215"/>
      <c r="AG326" s="215"/>
      <c r="AJ326" s="215"/>
    </row>
    <row r="327" spans="1:36" s="213" customFormat="1" x14ac:dyDescent="0.25">
      <c r="A327" s="212"/>
      <c r="C327" s="212"/>
      <c r="K327" s="212"/>
      <c r="L327" s="212"/>
      <c r="M327" s="212"/>
      <c r="R327" s="214"/>
      <c r="AB327" s="215"/>
      <c r="AG327" s="215"/>
      <c r="AJ327" s="215"/>
    </row>
    <row r="328" spans="1:36" s="213" customFormat="1" x14ac:dyDescent="0.25">
      <c r="A328" s="212"/>
      <c r="C328" s="212"/>
      <c r="K328" s="212"/>
      <c r="L328" s="212"/>
      <c r="M328" s="212"/>
      <c r="R328" s="214"/>
      <c r="AB328" s="215"/>
      <c r="AG328" s="215"/>
      <c r="AJ328" s="215"/>
    </row>
    <row r="329" spans="1:36" s="213" customFormat="1" x14ac:dyDescent="0.25">
      <c r="A329" s="212"/>
      <c r="C329" s="212"/>
      <c r="K329" s="212"/>
      <c r="L329" s="212"/>
      <c r="M329" s="212"/>
      <c r="R329" s="214"/>
      <c r="AB329" s="215"/>
      <c r="AG329" s="215"/>
      <c r="AJ329" s="215"/>
    </row>
    <row r="330" spans="1:36" s="213" customFormat="1" x14ac:dyDescent="0.25">
      <c r="A330" s="212"/>
      <c r="C330" s="212"/>
      <c r="K330" s="212"/>
      <c r="L330" s="212"/>
      <c r="M330" s="212"/>
      <c r="R330" s="214"/>
      <c r="AB330" s="215"/>
      <c r="AG330" s="215"/>
      <c r="AJ330" s="215"/>
    </row>
    <row r="331" spans="1:36" s="213" customFormat="1" x14ac:dyDescent="0.25">
      <c r="A331" s="212"/>
      <c r="C331" s="212"/>
      <c r="K331" s="212"/>
      <c r="L331" s="212"/>
      <c r="M331" s="212"/>
      <c r="R331" s="214"/>
      <c r="AB331" s="215"/>
      <c r="AG331" s="215"/>
      <c r="AJ331" s="215"/>
    </row>
    <row r="332" spans="1:36" s="213" customFormat="1" x14ac:dyDescent="0.25">
      <c r="A332" s="212"/>
      <c r="C332" s="212"/>
      <c r="K332" s="212"/>
      <c r="L332" s="212"/>
      <c r="M332" s="212"/>
      <c r="R332" s="214"/>
      <c r="AB332" s="215"/>
      <c r="AG332" s="215"/>
      <c r="AJ332" s="215"/>
    </row>
    <row r="333" spans="1:36" s="213" customFormat="1" x14ac:dyDescent="0.25">
      <c r="A333" s="212"/>
      <c r="C333" s="212"/>
      <c r="K333" s="212"/>
      <c r="L333" s="212"/>
      <c r="M333" s="212"/>
      <c r="R333" s="214"/>
      <c r="AB333" s="215"/>
      <c r="AG333" s="215"/>
      <c r="AJ333" s="215"/>
    </row>
    <row r="334" spans="1:36" s="213" customFormat="1" x14ac:dyDescent="0.25">
      <c r="A334" s="212"/>
      <c r="C334" s="212"/>
      <c r="K334" s="212"/>
      <c r="L334" s="212"/>
      <c r="M334" s="212"/>
      <c r="R334" s="214"/>
      <c r="AB334" s="215"/>
      <c r="AG334" s="215"/>
      <c r="AJ334" s="215"/>
    </row>
    <row r="335" spans="1:36" s="213" customFormat="1" x14ac:dyDescent="0.25">
      <c r="A335" s="212"/>
      <c r="C335" s="212"/>
      <c r="K335" s="212"/>
      <c r="L335" s="212"/>
      <c r="M335" s="212"/>
      <c r="R335" s="214"/>
      <c r="AB335" s="215"/>
      <c r="AG335" s="215"/>
      <c r="AJ335" s="215"/>
    </row>
    <row r="336" spans="1:36" s="213" customFormat="1" x14ac:dyDescent="0.25">
      <c r="A336" s="212"/>
      <c r="C336" s="212"/>
      <c r="K336" s="212"/>
      <c r="L336" s="212"/>
      <c r="M336" s="212"/>
      <c r="R336" s="214"/>
      <c r="AB336" s="215"/>
      <c r="AG336" s="215"/>
      <c r="AJ336" s="215"/>
    </row>
    <row r="337" spans="1:36" s="213" customFormat="1" x14ac:dyDescent="0.25">
      <c r="A337" s="212"/>
      <c r="C337" s="212"/>
      <c r="K337" s="212"/>
      <c r="L337" s="212"/>
      <c r="M337" s="212"/>
      <c r="R337" s="214"/>
      <c r="AB337" s="215"/>
      <c r="AG337" s="215"/>
      <c r="AJ337" s="215"/>
    </row>
    <row r="338" spans="1:36" s="213" customFormat="1" x14ac:dyDescent="0.25">
      <c r="A338" s="212"/>
      <c r="C338" s="212"/>
      <c r="K338" s="212"/>
      <c r="L338" s="212"/>
      <c r="M338" s="212"/>
      <c r="R338" s="214"/>
      <c r="AB338" s="215"/>
      <c r="AG338" s="215"/>
      <c r="AJ338" s="215"/>
    </row>
    <row r="339" spans="1:36" s="213" customFormat="1" x14ac:dyDescent="0.25">
      <c r="A339" s="212"/>
      <c r="C339" s="212"/>
      <c r="K339" s="212"/>
      <c r="L339" s="212"/>
      <c r="M339" s="212"/>
      <c r="R339" s="214"/>
      <c r="AB339" s="215"/>
      <c r="AG339" s="215"/>
      <c r="AJ339" s="215"/>
    </row>
    <row r="340" spans="1:36" s="213" customFormat="1" x14ac:dyDescent="0.25">
      <c r="A340" s="212"/>
      <c r="C340" s="212"/>
      <c r="K340" s="212"/>
      <c r="L340" s="212"/>
      <c r="M340" s="212"/>
      <c r="R340" s="214"/>
      <c r="AB340" s="215"/>
      <c r="AG340" s="215"/>
      <c r="AJ340" s="215"/>
    </row>
    <row r="341" spans="1:36" s="213" customFormat="1" x14ac:dyDescent="0.25">
      <c r="A341" s="212"/>
      <c r="C341" s="212"/>
      <c r="K341" s="212"/>
      <c r="L341" s="212"/>
      <c r="M341" s="212"/>
      <c r="R341" s="214"/>
      <c r="AB341" s="215"/>
      <c r="AG341" s="215"/>
      <c r="AJ341" s="215"/>
    </row>
    <row r="342" spans="1:36" s="213" customFormat="1" x14ac:dyDescent="0.25">
      <c r="A342" s="212"/>
      <c r="C342" s="212"/>
      <c r="K342" s="212"/>
      <c r="L342" s="212"/>
      <c r="M342" s="212"/>
      <c r="R342" s="214"/>
      <c r="AB342" s="215"/>
      <c r="AG342" s="215"/>
      <c r="AJ342" s="215"/>
    </row>
    <row r="343" spans="1:36" s="213" customFormat="1" x14ac:dyDescent="0.25">
      <c r="A343" s="212"/>
      <c r="C343" s="212"/>
      <c r="K343" s="212"/>
      <c r="L343" s="212"/>
      <c r="M343" s="212"/>
      <c r="R343" s="214"/>
      <c r="AB343" s="215"/>
      <c r="AG343" s="215"/>
      <c r="AJ343" s="215"/>
    </row>
    <row r="344" spans="1:36" s="213" customFormat="1" x14ac:dyDescent="0.25">
      <c r="A344" s="212"/>
      <c r="C344" s="212"/>
      <c r="K344" s="212"/>
      <c r="L344" s="212"/>
      <c r="M344" s="212"/>
      <c r="R344" s="214"/>
      <c r="AB344" s="215"/>
      <c r="AG344" s="215"/>
      <c r="AJ344" s="215"/>
    </row>
    <row r="345" spans="1:36" s="213" customFormat="1" x14ac:dyDescent="0.25">
      <c r="A345" s="212"/>
      <c r="C345" s="212"/>
      <c r="K345" s="212"/>
      <c r="L345" s="212"/>
      <c r="M345" s="212"/>
      <c r="R345" s="214"/>
      <c r="AB345" s="215"/>
      <c r="AG345" s="215"/>
      <c r="AJ345" s="215"/>
    </row>
    <row r="346" spans="1:36" s="213" customFormat="1" x14ac:dyDescent="0.25">
      <c r="A346" s="212"/>
      <c r="C346" s="212"/>
      <c r="K346" s="212"/>
      <c r="L346" s="212"/>
      <c r="M346" s="212"/>
      <c r="R346" s="214"/>
      <c r="AB346" s="215"/>
      <c r="AG346" s="215"/>
      <c r="AJ346" s="215"/>
    </row>
    <row r="347" spans="1:36" s="213" customFormat="1" x14ac:dyDescent="0.25">
      <c r="A347" s="212"/>
      <c r="C347" s="212"/>
      <c r="K347" s="212"/>
      <c r="L347" s="212"/>
      <c r="M347" s="212"/>
      <c r="R347" s="214"/>
      <c r="AB347" s="215"/>
      <c r="AG347" s="215"/>
      <c r="AJ347" s="215"/>
    </row>
    <row r="348" spans="1:36" s="213" customFormat="1" x14ac:dyDescent="0.25">
      <c r="A348" s="212"/>
      <c r="C348" s="212"/>
      <c r="K348" s="212"/>
      <c r="L348" s="212"/>
      <c r="M348" s="212"/>
      <c r="R348" s="214"/>
      <c r="AB348" s="215"/>
      <c r="AG348" s="215"/>
      <c r="AJ348" s="215"/>
    </row>
    <row r="349" spans="1:36" s="213" customFormat="1" x14ac:dyDescent="0.25">
      <c r="A349" s="212"/>
      <c r="C349" s="212"/>
      <c r="K349" s="212"/>
      <c r="L349" s="212"/>
      <c r="M349" s="212"/>
      <c r="R349" s="214"/>
      <c r="AB349" s="215"/>
      <c r="AG349" s="215"/>
      <c r="AJ349" s="215"/>
    </row>
    <row r="350" spans="1:36" s="213" customFormat="1" x14ac:dyDescent="0.25">
      <c r="A350" s="212"/>
      <c r="C350" s="212"/>
      <c r="K350" s="212"/>
      <c r="L350" s="212"/>
      <c r="M350" s="212"/>
      <c r="R350" s="214"/>
      <c r="AB350" s="215"/>
      <c r="AG350" s="215"/>
      <c r="AJ350" s="215"/>
    </row>
    <row r="351" spans="1:36" s="213" customFormat="1" x14ac:dyDescent="0.25">
      <c r="A351" s="212"/>
      <c r="C351" s="212"/>
      <c r="K351" s="212"/>
      <c r="L351" s="212"/>
      <c r="M351" s="212"/>
      <c r="R351" s="214"/>
      <c r="AB351" s="215"/>
      <c r="AG351" s="215"/>
      <c r="AJ351" s="215"/>
    </row>
    <row r="352" spans="1:36" s="213" customFormat="1" x14ac:dyDescent="0.25">
      <c r="A352" s="212"/>
      <c r="C352" s="212"/>
      <c r="K352" s="212"/>
      <c r="L352" s="212"/>
      <c r="M352" s="212"/>
      <c r="R352" s="214"/>
      <c r="AB352" s="215"/>
      <c r="AG352" s="215"/>
      <c r="AJ352" s="215"/>
    </row>
    <row r="353" spans="1:36" s="213" customFormat="1" x14ac:dyDescent="0.25">
      <c r="A353" s="212"/>
      <c r="C353" s="212"/>
      <c r="K353" s="212"/>
      <c r="L353" s="212"/>
      <c r="M353" s="212"/>
      <c r="R353" s="214"/>
      <c r="AB353" s="215"/>
      <c r="AG353" s="215"/>
      <c r="AJ353" s="215"/>
    </row>
    <row r="354" spans="1:36" s="213" customFormat="1" x14ac:dyDescent="0.25">
      <c r="A354" s="212"/>
      <c r="C354" s="212"/>
      <c r="K354" s="212"/>
      <c r="L354" s="212"/>
      <c r="M354" s="212"/>
      <c r="R354" s="214"/>
      <c r="AB354" s="215"/>
      <c r="AG354" s="215"/>
      <c r="AJ354" s="215"/>
    </row>
    <row r="355" spans="1:36" s="213" customFormat="1" x14ac:dyDescent="0.25">
      <c r="A355" s="212"/>
      <c r="C355" s="212"/>
      <c r="K355" s="212"/>
      <c r="L355" s="212"/>
      <c r="M355" s="212"/>
      <c r="R355" s="214"/>
      <c r="AB355" s="215"/>
      <c r="AG355" s="215"/>
      <c r="AJ355" s="215"/>
    </row>
    <row r="356" spans="1:36" s="213" customFormat="1" x14ac:dyDescent="0.25">
      <c r="A356" s="212"/>
      <c r="C356" s="212"/>
      <c r="K356" s="212"/>
      <c r="L356" s="212"/>
      <c r="M356" s="212"/>
      <c r="R356" s="214"/>
      <c r="AB356" s="215"/>
      <c r="AG356" s="215"/>
      <c r="AJ356" s="215"/>
    </row>
    <row r="357" spans="1:36" s="213" customFormat="1" x14ac:dyDescent="0.25">
      <c r="A357" s="212"/>
      <c r="C357" s="212"/>
      <c r="K357" s="212"/>
      <c r="L357" s="212"/>
      <c r="M357" s="212"/>
      <c r="R357" s="214"/>
      <c r="AB357" s="215"/>
      <c r="AG357" s="215"/>
      <c r="AJ357" s="215"/>
    </row>
    <row r="358" spans="1:36" s="213" customFormat="1" x14ac:dyDescent="0.25">
      <c r="A358" s="212"/>
      <c r="C358" s="212"/>
      <c r="K358" s="212"/>
      <c r="L358" s="212"/>
      <c r="M358" s="212"/>
      <c r="R358" s="214"/>
      <c r="AB358" s="215"/>
      <c r="AG358" s="215"/>
      <c r="AJ358" s="215"/>
    </row>
    <row r="359" spans="1:36" s="213" customFormat="1" x14ac:dyDescent="0.25">
      <c r="A359" s="212"/>
      <c r="C359" s="212"/>
      <c r="K359" s="212"/>
      <c r="L359" s="212"/>
      <c r="M359" s="212"/>
      <c r="R359" s="214"/>
      <c r="AB359" s="215"/>
      <c r="AG359" s="215"/>
      <c r="AJ359" s="215"/>
    </row>
    <row r="360" spans="1:36" s="213" customFormat="1" x14ac:dyDescent="0.25">
      <c r="A360" s="212"/>
      <c r="C360" s="212"/>
      <c r="K360" s="212"/>
      <c r="L360" s="212"/>
      <c r="M360" s="212"/>
      <c r="R360" s="214"/>
      <c r="AB360" s="215"/>
      <c r="AG360" s="215"/>
      <c r="AJ360" s="215"/>
    </row>
    <row r="361" spans="1:36" s="213" customFormat="1" x14ac:dyDescent="0.25">
      <c r="A361" s="212"/>
      <c r="C361" s="212"/>
      <c r="K361" s="212"/>
      <c r="L361" s="212"/>
      <c r="M361" s="212"/>
      <c r="R361" s="214"/>
      <c r="AB361" s="215"/>
      <c r="AG361" s="215"/>
      <c r="AJ361" s="215"/>
    </row>
    <row r="362" spans="1:36" s="213" customFormat="1" x14ac:dyDescent="0.25">
      <c r="A362" s="212"/>
      <c r="C362" s="212"/>
      <c r="K362" s="212"/>
      <c r="L362" s="212"/>
      <c r="M362" s="212"/>
      <c r="R362" s="214"/>
      <c r="AB362" s="215"/>
      <c r="AG362" s="215"/>
      <c r="AJ362" s="215"/>
    </row>
    <row r="363" spans="1:36" s="213" customFormat="1" x14ac:dyDescent="0.25">
      <c r="A363" s="212"/>
      <c r="C363" s="212"/>
      <c r="K363" s="212"/>
      <c r="L363" s="212"/>
      <c r="M363" s="212"/>
      <c r="R363" s="214"/>
      <c r="AB363" s="215"/>
      <c r="AG363" s="215"/>
      <c r="AJ363" s="215"/>
    </row>
    <row r="364" spans="1:36" s="213" customFormat="1" x14ac:dyDescent="0.25">
      <c r="A364" s="212"/>
      <c r="C364" s="212"/>
      <c r="K364" s="212"/>
      <c r="L364" s="212"/>
      <c r="M364" s="212"/>
      <c r="R364" s="214"/>
      <c r="AB364" s="215"/>
      <c r="AG364" s="215"/>
      <c r="AJ364" s="215"/>
    </row>
    <row r="365" spans="1:36" s="213" customFormat="1" x14ac:dyDescent="0.25">
      <c r="A365" s="212"/>
      <c r="C365" s="212"/>
      <c r="K365" s="212"/>
      <c r="L365" s="212"/>
      <c r="M365" s="212"/>
      <c r="R365" s="214"/>
      <c r="AB365" s="215"/>
      <c r="AG365" s="215"/>
      <c r="AJ365" s="215"/>
    </row>
    <row r="366" spans="1:36" s="213" customFormat="1" x14ac:dyDescent="0.25">
      <c r="A366" s="212"/>
      <c r="C366" s="212"/>
      <c r="K366" s="212"/>
      <c r="L366" s="212"/>
      <c r="M366" s="212"/>
      <c r="R366" s="214"/>
      <c r="AB366" s="215"/>
      <c r="AG366" s="215"/>
      <c r="AJ366" s="215"/>
    </row>
    <row r="367" spans="1:36" s="213" customFormat="1" x14ac:dyDescent="0.25">
      <c r="A367" s="212"/>
      <c r="C367" s="212"/>
      <c r="K367" s="212"/>
      <c r="L367" s="212"/>
      <c r="M367" s="212"/>
      <c r="R367" s="214"/>
      <c r="AB367" s="215"/>
      <c r="AG367" s="215"/>
      <c r="AJ367" s="215"/>
    </row>
    <row r="368" spans="1:36" s="213" customFormat="1" x14ac:dyDescent="0.25">
      <c r="A368" s="212"/>
      <c r="C368" s="212"/>
      <c r="K368" s="212"/>
      <c r="L368" s="212"/>
      <c r="M368" s="212"/>
      <c r="R368" s="214"/>
      <c r="AB368" s="215"/>
      <c r="AG368" s="215"/>
      <c r="AJ368" s="215"/>
    </row>
    <row r="369" spans="1:36" s="213" customFormat="1" x14ac:dyDescent="0.25">
      <c r="A369" s="212"/>
      <c r="C369" s="212"/>
      <c r="K369" s="212"/>
      <c r="L369" s="212"/>
      <c r="M369" s="212"/>
      <c r="R369" s="214"/>
      <c r="AB369" s="215"/>
      <c r="AG369" s="215"/>
      <c r="AJ369" s="215"/>
    </row>
    <row r="370" spans="1:36" s="213" customFormat="1" x14ac:dyDescent="0.25">
      <c r="A370" s="212"/>
      <c r="C370" s="212"/>
      <c r="K370" s="212"/>
      <c r="L370" s="212"/>
      <c r="M370" s="212"/>
      <c r="R370" s="214"/>
      <c r="AB370" s="215"/>
      <c r="AG370" s="215"/>
      <c r="AJ370" s="215"/>
    </row>
    <row r="371" spans="1:36" s="213" customFormat="1" x14ac:dyDescent="0.25">
      <c r="A371" s="212"/>
      <c r="C371" s="212"/>
      <c r="K371" s="212"/>
      <c r="L371" s="212"/>
      <c r="M371" s="212"/>
      <c r="R371" s="214"/>
      <c r="AB371" s="215"/>
      <c r="AG371" s="215"/>
      <c r="AJ371" s="215"/>
    </row>
    <row r="372" spans="1:36" s="213" customFormat="1" x14ac:dyDescent="0.25">
      <c r="A372" s="212"/>
      <c r="C372" s="212"/>
      <c r="K372" s="212"/>
      <c r="L372" s="212"/>
      <c r="M372" s="212"/>
      <c r="R372" s="214"/>
      <c r="AB372" s="215"/>
      <c r="AG372" s="215"/>
      <c r="AJ372" s="215"/>
    </row>
    <row r="373" spans="1:36" s="213" customFormat="1" x14ac:dyDescent="0.25">
      <c r="A373" s="212"/>
      <c r="C373" s="212"/>
      <c r="K373" s="212"/>
      <c r="L373" s="212"/>
      <c r="M373" s="212"/>
      <c r="R373" s="214"/>
      <c r="AB373" s="215"/>
      <c r="AG373" s="215"/>
      <c r="AJ373" s="215"/>
    </row>
    <row r="374" spans="1:36" s="213" customFormat="1" x14ac:dyDescent="0.25">
      <c r="A374" s="212"/>
      <c r="C374" s="212"/>
      <c r="K374" s="212"/>
      <c r="L374" s="212"/>
      <c r="M374" s="212"/>
      <c r="R374" s="214"/>
      <c r="AB374" s="215"/>
      <c r="AG374" s="215"/>
      <c r="AJ374" s="215"/>
    </row>
    <row r="375" spans="1:36" s="213" customFormat="1" x14ac:dyDescent="0.25">
      <c r="A375" s="212"/>
      <c r="C375" s="212"/>
      <c r="K375" s="212"/>
      <c r="L375" s="212"/>
      <c r="M375" s="212"/>
      <c r="R375" s="214"/>
      <c r="AB375" s="215"/>
      <c r="AG375" s="215"/>
      <c r="AJ375" s="215"/>
    </row>
    <row r="376" spans="1:36" s="213" customFormat="1" x14ac:dyDescent="0.25">
      <c r="A376" s="212"/>
      <c r="C376" s="212"/>
      <c r="K376" s="212"/>
      <c r="L376" s="212"/>
      <c r="M376" s="212"/>
      <c r="R376" s="214"/>
      <c r="AB376" s="215"/>
      <c r="AG376" s="215"/>
      <c r="AJ376" s="215"/>
    </row>
    <row r="377" spans="1:36" s="213" customFormat="1" x14ac:dyDescent="0.25">
      <c r="A377" s="212"/>
      <c r="C377" s="212"/>
      <c r="K377" s="212"/>
      <c r="L377" s="212"/>
      <c r="M377" s="212"/>
      <c r="R377" s="214"/>
      <c r="AB377" s="215"/>
      <c r="AG377" s="215"/>
      <c r="AJ377" s="215"/>
    </row>
    <row r="378" spans="1:36" s="213" customFormat="1" x14ac:dyDescent="0.25">
      <c r="A378" s="212"/>
      <c r="C378" s="212"/>
      <c r="K378" s="212"/>
      <c r="L378" s="212"/>
      <c r="M378" s="212"/>
      <c r="R378" s="214"/>
      <c r="AB378" s="215"/>
      <c r="AG378" s="215"/>
      <c r="AJ378" s="215"/>
    </row>
    <row r="379" spans="1:36" s="213" customFormat="1" x14ac:dyDescent="0.25">
      <c r="A379" s="212"/>
      <c r="C379" s="212"/>
      <c r="K379" s="212"/>
      <c r="L379" s="212"/>
      <c r="M379" s="212"/>
      <c r="R379" s="214"/>
      <c r="AB379" s="215"/>
      <c r="AG379" s="215"/>
      <c r="AJ379" s="215"/>
    </row>
    <row r="380" spans="1:36" s="213" customFormat="1" x14ac:dyDescent="0.25">
      <c r="A380" s="212"/>
      <c r="C380" s="212"/>
      <c r="K380" s="212"/>
      <c r="L380" s="212"/>
      <c r="M380" s="212"/>
      <c r="R380" s="214"/>
      <c r="AB380" s="215"/>
      <c r="AG380" s="215"/>
      <c r="AJ380" s="215"/>
    </row>
    <row r="381" spans="1:36" s="213" customFormat="1" x14ac:dyDescent="0.25">
      <c r="A381" s="212"/>
      <c r="C381" s="212"/>
      <c r="K381" s="212"/>
      <c r="L381" s="212"/>
      <c r="M381" s="212"/>
      <c r="R381" s="214"/>
      <c r="AB381" s="215"/>
      <c r="AG381" s="215"/>
      <c r="AJ381" s="215"/>
    </row>
    <row r="382" spans="1:36" s="213" customFormat="1" x14ac:dyDescent="0.25">
      <c r="A382" s="212"/>
      <c r="C382" s="212"/>
      <c r="K382" s="212"/>
      <c r="L382" s="212"/>
      <c r="M382" s="212"/>
      <c r="R382" s="214"/>
      <c r="AB382" s="215"/>
      <c r="AG382" s="215"/>
      <c r="AJ382" s="215"/>
    </row>
    <row r="383" spans="1:36" s="213" customFormat="1" x14ac:dyDescent="0.25">
      <c r="A383" s="212"/>
      <c r="C383" s="212"/>
      <c r="K383" s="212"/>
      <c r="L383" s="212"/>
      <c r="M383" s="212"/>
      <c r="R383" s="214"/>
      <c r="AB383" s="215"/>
      <c r="AG383" s="215"/>
      <c r="AJ383" s="215"/>
    </row>
    <row r="384" spans="1:36" s="213" customFormat="1" x14ac:dyDescent="0.25">
      <c r="A384" s="212"/>
      <c r="C384" s="212"/>
      <c r="K384" s="212"/>
      <c r="L384" s="212"/>
      <c r="M384" s="212"/>
      <c r="R384" s="214"/>
      <c r="AB384" s="215"/>
      <c r="AG384" s="215"/>
      <c r="AJ384" s="215"/>
    </row>
    <row r="385" spans="1:36" s="213" customFormat="1" x14ac:dyDescent="0.25">
      <c r="A385" s="212"/>
      <c r="C385" s="212"/>
      <c r="K385" s="212"/>
      <c r="L385" s="212"/>
      <c r="M385" s="212"/>
      <c r="R385" s="214"/>
      <c r="AB385" s="215"/>
      <c r="AG385" s="215"/>
      <c r="AJ385" s="215"/>
    </row>
    <row r="386" spans="1:36" s="213" customFormat="1" x14ac:dyDescent="0.25">
      <c r="A386" s="212"/>
      <c r="C386" s="212"/>
      <c r="K386" s="212"/>
      <c r="L386" s="212"/>
      <c r="M386" s="212"/>
      <c r="R386" s="214"/>
      <c r="AB386" s="215"/>
      <c r="AG386" s="215"/>
      <c r="AJ386" s="215"/>
    </row>
    <row r="387" spans="1:36" s="213" customFormat="1" x14ac:dyDescent="0.25">
      <c r="A387" s="212"/>
      <c r="C387" s="212"/>
      <c r="K387" s="212"/>
      <c r="L387" s="212"/>
      <c r="M387" s="212"/>
      <c r="R387" s="214"/>
      <c r="AB387" s="215"/>
      <c r="AG387" s="215"/>
      <c r="AJ387" s="215"/>
    </row>
    <row r="388" spans="1:36" s="213" customFormat="1" x14ac:dyDescent="0.25">
      <c r="A388" s="212"/>
      <c r="C388" s="212"/>
      <c r="K388" s="212"/>
      <c r="L388" s="212"/>
      <c r="M388" s="212"/>
      <c r="R388" s="214"/>
      <c r="AB388" s="215"/>
      <c r="AG388" s="215"/>
      <c r="AJ388" s="215"/>
    </row>
    <row r="389" spans="1:36" s="213" customFormat="1" x14ac:dyDescent="0.25">
      <c r="A389" s="212"/>
      <c r="C389" s="212"/>
      <c r="K389" s="212"/>
      <c r="L389" s="212"/>
      <c r="M389" s="212"/>
      <c r="R389" s="214"/>
      <c r="AB389" s="215"/>
      <c r="AG389" s="215"/>
      <c r="AJ389" s="215"/>
    </row>
    <row r="390" spans="1:36" s="213" customFormat="1" x14ac:dyDescent="0.25">
      <c r="A390" s="212"/>
      <c r="C390" s="212"/>
      <c r="K390" s="212"/>
      <c r="L390" s="212"/>
      <c r="M390" s="212"/>
      <c r="R390" s="214"/>
      <c r="AB390" s="215"/>
      <c r="AG390" s="215"/>
      <c r="AJ390" s="215"/>
    </row>
    <row r="391" spans="1:36" s="213" customFormat="1" x14ac:dyDescent="0.25">
      <c r="A391" s="212"/>
      <c r="C391" s="212"/>
      <c r="K391" s="212"/>
      <c r="L391" s="212"/>
      <c r="M391" s="212"/>
      <c r="R391" s="214"/>
      <c r="AB391" s="215"/>
      <c r="AG391" s="215"/>
      <c r="AJ391" s="215"/>
    </row>
    <row r="392" spans="1:36" s="213" customFormat="1" x14ac:dyDescent="0.25">
      <c r="A392" s="212"/>
      <c r="C392" s="212"/>
      <c r="K392" s="212"/>
      <c r="L392" s="212"/>
      <c r="M392" s="212"/>
      <c r="R392" s="214"/>
      <c r="AB392" s="215"/>
      <c r="AG392" s="215"/>
      <c r="AJ392" s="215"/>
    </row>
    <row r="393" spans="1:36" s="213" customFormat="1" x14ac:dyDescent="0.25">
      <c r="A393" s="212"/>
      <c r="C393" s="212"/>
      <c r="K393" s="212"/>
      <c r="L393" s="212"/>
      <c r="M393" s="212"/>
      <c r="R393" s="214"/>
      <c r="AB393" s="215"/>
      <c r="AG393" s="215"/>
      <c r="AJ393" s="215"/>
    </row>
    <row r="394" spans="1:36" s="213" customFormat="1" x14ac:dyDescent="0.25">
      <c r="A394" s="212"/>
      <c r="C394" s="212"/>
      <c r="K394" s="212"/>
      <c r="L394" s="212"/>
      <c r="M394" s="212"/>
      <c r="R394" s="214"/>
      <c r="AB394" s="215"/>
      <c r="AG394" s="215"/>
      <c r="AJ394" s="215"/>
    </row>
    <row r="395" spans="1:36" s="213" customFormat="1" x14ac:dyDescent="0.25">
      <c r="A395" s="212"/>
      <c r="C395" s="212"/>
      <c r="K395" s="212"/>
      <c r="L395" s="212"/>
      <c r="M395" s="212"/>
      <c r="R395" s="214"/>
      <c r="AB395" s="215"/>
      <c r="AG395" s="215"/>
      <c r="AJ395" s="215"/>
    </row>
    <row r="396" spans="1:36" s="213" customFormat="1" x14ac:dyDescent="0.25">
      <c r="A396" s="212"/>
      <c r="C396" s="212"/>
      <c r="K396" s="212"/>
      <c r="L396" s="212"/>
      <c r="M396" s="212"/>
      <c r="R396" s="214"/>
      <c r="AB396" s="215"/>
      <c r="AG396" s="215"/>
      <c r="AJ396" s="215"/>
    </row>
    <row r="397" spans="1:36" s="213" customFormat="1" x14ac:dyDescent="0.25">
      <c r="A397" s="212"/>
      <c r="C397" s="212"/>
      <c r="K397" s="212"/>
      <c r="L397" s="212"/>
      <c r="M397" s="212"/>
      <c r="R397" s="214"/>
      <c r="AB397" s="215"/>
      <c r="AG397" s="215"/>
      <c r="AJ397" s="215"/>
    </row>
    <row r="398" spans="1:36" s="213" customFormat="1" x14ac:dyDescent="0.25">
      <c r="A398" s="212"/>
      <c r="C398" s="212"/>
      <c r="K398" s="212"/>
      <c r="L398" s="212"/>
      <c r="M398" s="212"/>
      <c r="R398" s="214"/>
      <c r="AB398" s="215"/>
      <c r="AG398" s="215"/>
      <c r="AJ398" s="215"/>
    </row>
    <row r="399" spans="1:36" s="213" customFormat="1" x14ac:dyDescent="0.25">
      <c r="A399" s="212"/>
      <c r="C399" s="212"/>
      <c r="K399" s="212"/>
      <c r="L399" s="212"/>
      <c r="M399" s="212"/>
      <c r="R399" s="214"/>
      <c r="AB399" s="215"/>
      <c r="AG399" s="215"/>
      <c r="AJ399" s="215"/>
    </row>
    <row r="400" spans="1:36" s="213" customFormat="1" x14ac:dyDescent="0.25">
      <c r="A400" s="212"/>
      <c r="C400" s="212"/>
      <c r="K400" s="212"/>
      <c r="L400" s="212"/>
      <c r="M400" s="212"/>
      <c r="R400" s="214"/>
      <c r="AB400" s="215"/>
      <c r="AG400" s="215"/>
      <c r="AJ400" s="215"/>
    </row>
    <row r="401" spans="1:36" s="213" customFormat="1" x14ac:dyDescent="0.25">
      <c r="A401" s="212"/>
      <c r="C401" s="212"/>
      <c r="K401" s="212"/>
      <c r="L401" s="212"/>
      <c r="M401" s="212"/>
      <c r="R401" s="214"/>
      <c r="AB401" s="215"/>
      <c r="AG401" s="215"/>
      <c r="AJ401" s="215"/>
    </row>
    <row r="402" spans="1:36" s="213" customFormat="1" x14ac:dyDescent="0.25">
      <c r="A402" s="212"/>
      <c r="C402" s="212"/>
      <c r="K402" s="212"/>
      <c r="L402" s="212"/>
      <c r="M402" s="212"/>
      <c r="R402" s="214"/>
      <c r="AB402" s="215"/>
      <c r="AG402" s="215"/>
      <c r="AJ402" s="215"/>
    </row>
    <row r="403" spans="1:36" s="213" customFormat="1" x14ac:dyDescent="0.25">
      <c r="A403" s="212"/>
      <c r="C403" s="212"/>
      <c r="K403" s="212"/>
      <c r="L403" s="212"/>
      <c r="M403" s="212"/>
      <c r="R403" s="214"/>
      <c r="AB403" s="215"/>
      <c r="AG403" s="215"/>
      <c r="AJ403" s="215"/>
    </row>
    <row r="404" spans="1:36" s="213" customFormat="1" x14ac:dyDescent="0.25">
      <c r="A404" s="212"/>
      <c r="C404" s="212"/>
      <c r="K404" s="212"/>
      <c r="L404" s="212"/>
      <c r="M404" s="212"/>
      <c r="R404" s="214"/>
      <c r="AB404" s="215"/>
      <c r="AG404" s="215"/>
      <c r="AJ404" s="215"/>
    </row>
    <row r="405" spans="1:36" s="213" customFormat="1" x14ac:dyDescent="0.25">
      <c r="A405" s="212"/>
      <c r="C405" s="212"/>
      <c r="K405" s="212"/>
      <c r="L405" s="212"/>
      <c r="M405" s="212"/>
      <c r="R405" s="214"/>
      <c r="AB405" s="215"/>
      <c r="AG405" s="215"/>
      <c r="AJ405" s="215"/>
    </row>
    <row r="406" spans="1:36" s="213" customFormat="1" x14ac:dyDescent="0.25">
      <c r="A406" s="212"/>
      <c r="C406" s="212"/>
      <c r="K406" s="212"/>
      <c r="L406" s="212"/>
      <c r="M406" s="212"/>
      <c r="R406" s="214"/>
      <c r="AB406" s="215"/>
      <c r="AG406" s="215"/>
      <c r="AJ406" s="215"/>
    </row>
    <row r="407" spans="1:36" s="213" customFormat="1" x14ac:dyDescent="0.25">
      <c r="A407" s="212"/>
      <c r="C407" s="212"/>
      <c r="K407" s="212"/>
      <c r="L407" s="212"/>
      <c r="M407" s="212"/>
      <c r="R407" s="214"/>
      <c r="AB407" s="215"/>
      <c r="AG407" s="215"/>
      <c r="AJ407" s="215"/>
    </row>
    <row r="408" spans="1:36" s="213" customFormat="1" x14ac:dyDescent="0.25">
      <c r="A408" s="212"/>
      <c r="C408" s="212"/>
      <c r="K408" s="212"/>
      <c r="L408" s="212"/>
      <c r="M408" s="212"/>
      <c r="R408" s="214"/>
      <c r="AB408" s="215"/>
      <c r="AG408" s="215"/>
      <c r="AJ408" s="215"/>
    </row>
    <row r="409" spans="1:36" s="213" customFormat="1" x14ac:dyDescent="0.25">
      <c r="A409" s="212"/>
      <c r="C409" s="212"/>
      <c r="K409" s="212"/>
      <c r="L409" s="212"/>
      <c r="M409" s="212"/>
      <c r="R409" s="214"/>
      <c r="AB409" s="215"/>
      <c r="AG409" s="215"/>
      <c r="AJ409" s="215"/>
    </row>
    <row r="410" spans="1:36" s="213" customFormat="1" x14ac:dyDescent="0.25">
      <c r="A410" s="212"/>
      <c r="C410" s="212"/>
      <c r="K410" s="212"/>
      <c r="L410" s="212"/>
      <c r="M410" s="212"/>
      <c r="R410" s="214"/>
      <c r="AB410" s="215"/>
      <c r="AG410" s="215"/>
      <c r="AJ410" s="215"/>
    </row>
    <row r="411" spans="1:36" s="213" customFormat="1" x14ac:dyDescent="0.25">
      <c r="A411" s="212"/>
      <c r="C411" s="212"/>
      <c r="K411" s="212"/>
      <c r="L411" s="212"/>
      <c r="M411" s="212"/>
      <c r="R411" s="214"/>
      <c r="AB411" s="215"/>
      <c r="AG411" s="215"/>
      <c r="AJ411" s="215"/>
    </row>
    <row r="412" spans="1:36" s="213" customFormat="1" x14ac:dyDescent="0.25">
      <c r="A412" s="212"/>
      <c r="C412" s="212"/>
      <c r="K412" s="212"/>
      <c r="L412" s="212"/>
      <c r="M412" s="212"/>
      <c r="R412" s="214"/>
      <c r="AB412" s="215"/>
      <c r="AG412" s="215"/>
      <c r="AJ412" s="215"/>
    </row>
    <row r="413" spans="1:36" s="213" customFormat="1" x14ac:dyDescent="0.25">
      <c r="A413" s="212"/>
      <c r="C413" s="212"/>
      <c r="K413" s="212"/>
      <c r="L413" s="212"/>
      <c r="M413" s="212"/>
      <c r="R413" s="214"/>
      <c r="AB413" s="215"/>
      <c r="AG413" s="215"/>
      <c r="AJ413" s="215"/>
    </row>
    <row r="414" spans="1:36" s="213" customFormat="1" x14ac:dyDescent="0.25">
      <c r="A414" s="212"/>
      <c r="C414" s="212"/>
      <c r="K414" s="212"/>
      <c r="L414" s="212"/>
      <c r="M414" s="212"/>
      <c r="R414" s="214"/>
      <c r="AB414" s="215"/>
      <c r="AG414" s="215"/>
      <c r="AJ414" s="215"/>
    </row>
    <row r="415" spans="1:36" s="213" customFormat="1" x14ac:dyDescent="0.25">
      <c r="A415" s="212"/>
      <c r="C415" s="212"/>
      <c r="K415" s="212"/>
      <c r="L415" s="212"/>
      <c r="M415" s="212"/>
      <c r="R415" s="214"/>
      <c r="AB415" s="215"/>
      <c r="AG415" s="215"/>
      <c r="AJ415" s="215"/>
    </row>
    <row r="416" spans="1:36" s="213" customFormat="1" x14ac:dyDescent="0.25">
      <c r="A416" s="212"/>
      <c r="C416" s="212"/>
      <c r="K416" s="212"/>
      <c r="L416" s="212"/>
      <c r="M416" s="212"/>
      <c r="R416" s="214"/>
      <c r="AB416" s="215"/>
      <c r="AG416" s="215"/>
      <c r="AJ416" s="215"/>
    </row>
    <row r="417" spans="1:36" s="213" customFormat="1" x14ac:dyDescent="0.25">
      <c r="A417" s="212"/>
      <c r="C417" s="212"/>
      <c r="K417" s="212"/>
      <c r="L417" s="212"/>
      <c r="M417" s="212"/>
      <c r="R417" s="214"/>
      <c r="AB417" s="215"/>
      <c r="AG417" s="215"/>
      <c r="AJ417" s="215"/>
    </row>
    <row r="418" spans="1:36" s="213" customFormat="1" x14ac:dyDescent="0.25">
      <c r="A418" s="212"/>
      <c r="C418" s="212"/>
      <c r="K418" s="212"/>
      <c r="L418" s="212"/>
      <c r="M418" s="212"/>
      <c r="R418" s="214"/>
      <c r="AB418" s="215"/>
      <c r="AG418" s="215"/>
      <c r="AJ418" s="215"/>
    </row>
    <row r="419" spans="1:36" s="213" customFormat="1" x14ac:dyDescent="0.25">
      <c r="A419" s="212"/>
      <c r="C419" s="212"/>
      <c r="K419" s="212"/>
      <c r="L419" s="212"/>
      <c r="M419" s="212"/>
      <c r="R419" s="214"/>
      <c r="AB419" s="215"/>
      <c r="AG419" s="215"/>
      <c r="AJ419" s="215"/>
    </row>
    <row r="420" spans="1:36" s="213" customFormat="1" x14ac:dyDescent="0.25">
      <c r="A420" s="212"/>
      <c r="C420" s="212"/>
      <c r="K420" s="212"/>
      <c r="L420" s="212"/>
      <c r="M420" s="212"/>
      <c r="R420" s="214"/>
      <c r="AB420" s="215"/>
      <c r="AG420" s="215"/>
      <c r="AJ420" s="215"/>
    </row>
    <row r="421" spans="1:36" s="213" customFormat="1" x14ac:dyDescent="0.25">
      <c r="A421" s="212"/>
      <c r="C421" s="212"/>
      <c r="K421" s="212"/>
      <c r="L421" s="212"/>
      <c r="M421" s="212"/>
      <c r="R421" s="214"/>
      <c r="AB421" s="215"/>
      <c r="AG421" s="215"/>
      <c r="AJ421" s="215"/>
    </row>
    <row r="422" spans="1:36" s="213" customFormat="1" x14ac:dyDescent="0.25">
      <c r="A422" s="212"/>
      <c r="C422" s="212"/>
      <c r="K422" s="212"/>
      <c r="L422" s="212"/>
      <c r="M422" s="212"/>
      <c r="R422" s="214"/>
      <c r="AB422" s="215"/>
      <c r="AG422" s="215"/>
      <c r="AJ422" s="215"/>
    </row>
    <row r="423" spans="1:36" s="213" customFormat="1" x14ac:dyDescent="0.25">
      <c r="A423" s="212"/>
      <c r="C423" s="212"/>
      <c r="K423" s="212"/>
      <c r="L423" s="212"/>
      <c r="M423" s="212"/>
      <c r="R423" s="214"/>
      <c r="AB423" s="215"/>
      <c r="AG423" s="215"/>
      <c r="AJ423" s="215"/>
    </row>
    <row r="424" spans="1:36" s="213" customFormat="1" x14ac:dyDescent="0.25">
      <c r="A424" s="212"/>
      <c r="C424" s="212"/>
      <c r="K424" s="212"/>
      <c r="L424" s="212"/>
      <c r="M424" s="212"/>
      <c r="R424" s="214"/>
      <c r="AB424" s="215"/>
      <c r="AG424" s="215"/>
      <c r="AJ424" s="215"/>
    </row>
    <row r="425" spans="1:36" s="213" customFormat="1" x14ac:dyDescent="0.25">
      <c r="A425" s="212"/>
      <c r="C425" s="212"/>
      <c r="K425" s="212"/>
      <c r="L425" s="212"/>
      <c r="M425" s="212"/>
      <c r="R425" s="214"/>
      <c r="AB425" s="215"/>
      <c r="AG425" s="215"/>
      <c r="AJ425" s="215"/>
    </row>
    <row r="426" spans="1:36" s="213" customFormat="1" x14ac:dyDescent="0.25">
      <c r="A426" s="212"/>
      <c r="C426" s="212"/>
      <c r="K426" s="212"/>
      <c r="L426" s="212"/>
      <c r="M426" s="212"/>
      <c r="R426" s="214"/>
      <c r="AB426" s="215"/>
      <c r="AG426" s="215"/>
      <c r="AJ426" s="215"/>
    </row>
    <row r="427" spans="1:36" s="213" customFormat="1" x14ac:dyDescent="0.25">
      <c r="A427" s="212"/>
      <c r="C427" s="212"/>
      <c r="K427" s="212"/>
      <c r="L427" s="212"/>
      <c r="M427" s="212"/>
      <c r="R427" s="214"/>
      <c r="AB427" s="215"/>
      <c r="AG427" s="215"/>
      <c r="AJ427" s="215"/>
    </row>
    <row r="428" spans="1:36" s="213" customFormat="1" x14ac:dyDescent="0.25">
      <c r="A428" s="212"/>
      <c r="C428" s="212"/>
      <c r="K428" s="212"/>
      <c r="L428" s="212"/>
      <c r="M428" s="212"/>
      <c r="R428" s="214"/>
      <c r="AB428" s="215"/>
      <c r="AG428" s="215"/>
      <c r="AJ428" s="215"/>
    </row>
    <row r="429" spans="1:36" s="213" customFormat="1" x14ac:dyDescent="0.25">
      <c r="A429" s="212"/>
      <c r="C429" s="212"/>
      <c r="K429" s="212"/>
      <c r="L429" s="212"/>
      <c r="M429" s="212"/>
      <c r="R429" s="214"/>
      <c r="AB429" s="215"/>
      <c r="AG429" s="215"/>
      <c r="AJ429" s="215"/>
    </row>
    <row r="430" spans="1:36" s="213" customFormat="1" x14ac:dyDescent="0.25">
      <c r="A430" s="212"/>
      <c r="C430" s="212"/>
      <c r="K430" s="212"/>
      <c r="L430" s="212"/>
      <c r="M430" s="212"/>
      <c r="R430" s="214"/>
      <c r="AB430" s="215"/>
      <c r="AG430" s="215"/>
      <c r="AJ430" s="215"/>
    </row>
    <row r="431" spans="1:36" s="213" customFormat="1" x14ac:dyDescent="0.25">
      <c r="A431" s="212"/>
      <c r="C431" s="212"/>
      <c r="K431" s="212"/>
      <c r="L431" s="212"/>
      <c r="M431" s="212"/>
      <c r="R431" s="214"/>
      <c r="AB431" s="215"/>
      <c r="AG431" s="215"/>
      <c r="AJ431" s="215"/>
    </row>
    <row r="432" spans="1:36" s="213" customFormat="1" x14ac:dyDescent="0.25">
      <c r="A432" s="212"/>
      <c r="C432" s="212"/>
      <c r="K432" s="212"/>
      <c r="L432" s="212"/>
      <c r="M432" s="212"/>
      <c r="R432" s="214"/>
      <c r="AB432" s="215"/>
      <c r="AG432" s="215"/>
      <c r="AJ432" s="215"/>
    </row>
    <row r="433" spans="1:36" s="213" customFormat="1" x14ac:dyDescent="0.25">
      <c r="A433" s="212"/>
      <c r="C433" s="212"/>
      <c r="K433" s="212"/>
      <c r="L433" s="212"/>
      <c r="M433" s="212"/>
      <c r="R433" s="214"/>
      <c r="AB433" s="215"/>
      <c r="AG433" s="215"/>
      <c r="AJ433" s="215"/>
    </row>
    <row r="434" spans="1:36" s="213" customFormat="1" x14ac:dyDescent="0.25">
      <c r="A434" s="212"/>
      <c r="C434" s="212"/>
      <c r="K434" s="212"/>
      <c r="L434" s="212"/>
      <c r="M434" s="212"/>
      <c r="R434" s="214"/>
      <c r="AB434" s="215"/>
      <c r="AG434" s="215"/>
      <c r="AJ434" s="215"/>
    </row>
    <row r="435" spans="1:36" s="213" customFormat="1" x14ac:dyDescent="0.25">
      <c r="A435" s="212"/>
      <c r="C435" s="212"/>
      <c r="K435" s="212"/>
      <c r="L435" s="212"/>
      <c r="M435" s="212"/>
      <c r="R435" s="214"/>
      <c r="AB435" s="215"/>
      <c r="AG435" s="215"/>
      <c r="AJ435" s="215"/>
    </row>
    <row r="436" spans="1:36" s="213" customFormat="1" x14ac:dyDescent="0.25">
      <c r="A436" s="212"/>
      <c r="C436" s="212"/>
      <c r="K436" s="212"/>
      <c r="L436" s="212"/>
      <c r="M436" s="212"/>
      <c r="R436" s="214"/>
      <c r="AB436" s="215"/>
      <c r="AG436" s="215"/>
      <c r="AJ436" s="215"/>
    </row>
    <row r="437" spans="1:36" s="213" customFormat="1" x14ac:dyDescent="0.25">
      <c r="A437" s="212"/>
      <c r="C437" s="212"/>
      <c r="K437" s="212"/>
      <c r="L437" s="212"/>
      <c r="M437" s="212"/>
      <c r="R437" s="214"/>
      <c r="AB437" s="215"/>
      <c r="AG437" s="215"/>
      <c r="AJ437" s="215"/>
    </row>
    <row r="438" spans="1:36" s="213" customFormat="1" x14ac:dyDescent="0.25">
      <c r="A438" s="212"/>
      <c r="C438" s="212"/>
      <c r="K438" s="212"/>
      <c r="L438" s="212"/>
      <c r="M438" s="212"/>
      <c r="R438" s="214"/>
      <c r="AB438" s="215"/>
      <c r="AG438" s="215"/>
      <c r="AJ438" s="215"/>
    </row>
    <row r="439" spans="1:36" s="213" customFormat="1" x14ac:dyDescent="0.25">
      <c r="A439" s="212"/>
      <c r="C439" s="212"/>
      <c r="K439" s="212"/>
      <c r="L439" s="212"/>
      <c r="M439" s="212"/>
      <c r="R439" s="214"/>
      <c r="AB439" s="215"/>
      <c r="AG439" s="215"/>
      <c r="AJ439" s="215"/>
    </row>
    <row r="440" spans="1:36" s="213" customFormat="1" x14ac:dyDescent="0.25">
      <c r="A440" s="212"/>
      <c r="C440" s="212"/>
      <c r="K440" s="212"/>
      <c r="L440" s="212"/>
      <c r="M440" s="212"/>
      <c r="R440" s="214"/>
      <c r="AB440" s="215"/>
      <c r="AG440" s="215"/>
      <c r="AJ440" s="215"/>
    </row>
    <row r="441" spans="1:36" s="213" customFormat="1" x14ac:dyDescent="0.25">
      <c r="A441" s="212"/>
      <c r="C441" s="212"/>
      <c r="K441" s="212"/>
      <c r="L441" s="212"/>
      <c r="M441" s="212"/>
      <c r="R441" s="214"/>
      <c r="AB441" s="215"/>
      <c r="AG441" s="215"/>
      <c r="AJ441" s="215"/>
    </row>
    <row r="442" spans="1:36" s="213" customFormat="1" x14ac:dyDescent="0.25">
      <c r="A442" s="212"/>
      <c r="C442" s="212"/>
      <c r="K442" s="212"/>
      <c r="L442" s="212"/>
      <c r="M442" s="212"/>
      <c r="R442" s="214"/>
      <c r="AB442" s="215"/>
      <c r="AG442" s="215"/>
      <c r="AJ442" s="215"/>
    </row>
    <row r="443" spans="1:36" s="213" customFormat="1" x14ac:dyDescent="0.25">
      <c r="A443" s="212"/>
      <c r="C443" s="212"/>
      <c r="K443" s="212"/>
      <c r="L443" s="212"/>
      <c r="M443" s="212"/>
      <c r="R443" s="214"/>
      <c r="AB443" s="215"/>
      <c r="AG443" s="215"/>
      <c r="AJ443" s="215"/>
    </row>
    <row r="444" spans="1:36" s="213" customFormat="1" x14ac:dyDescent="0.25">
      <c r="A444" s="212"/>
      <c r="C444" s="212"/>
      <c r="K444" s="212"/>
      <c r="L444" s="212"/>
      <c r="M444" s="212"/>
      <c r="R444" s="214"/>
      <c r="AB444" s="215"/>
      <c r="AG444" s="215"/>
      <c r="AJ444" s="215"/>
    </row>
    <row r="445" spans="1:36" s="213" customFormat="1" x14ac:dyDescent="0.25">
      <c r="A445" s="212"/>
      <c r="C445" s="212"/>
      <c r="K445" s="212"/>
      <c r="L445" s="212"/>
      <c r="M445" s="212"/>
      <c r="R445" s="214"/>
      <c r="AB445" s="215"/>
      <c r="AG445" s="215"/>
      <c r="AJ445" s="215"/>
    </row>
    <row r="446" spans="1:36" s="213" customFormat="1" x14ac:dyDescent="0.25">
      <c r="A446" s="212"/>
      <c r="C446" s="212"/>
      <c r="K446" s="212"/>
      <c r="L446" s="212"/>
      <c r="M446" s="212"/>
      <c r="R446" s="214"/>
      <c r="AB446" s="215"/>
      <c r="AG446" s="215"/>
      <c r="AJ446" s="215"/>
    </row>
    <row r="447" spans="1:36" s="213" customFormat="1" x14ac:dyDescent="0.25">
      <c r="A447" s="212"/>
      <c r="C447" s="212"/>
      <c r="K447" s="212"/>
      <c r="L447" s="212"/>
      <c r="M447" s="212"/>
      <c r="R447" s="214"/>
      <c r="AB447" s="215"/>
      <c r="AG447" s="215"/>
      <c r="AJ447" s="215"/>
    </row>
    <row r="448" spans="1:36" s="213" customFormat="1" x14ac:dyDescent="0.25">
      <c r="A448" s="212"/>
      <c r="C448" s="212"/>
      <c r="K448" s="212"/>
      <c r="L448" s="212"/>
      <c r="M448" s="212"/>
      <c r="R448" s="214"/>
      <c r="AB448" s="215"/>
      <c r="AG448" s="215"/>
      <c r="AJ448" s="215"/>
    </row>
    <row r="449" spans="1:36" s="213" customFormat="1" x14ac:dyDescent="0.25">
      <c r="A449" s="212"/>
      <c r="C449" s="212"/>
      <c r="K449" s="212"/>
      <c r="L449" s="212"/>
      <c r="M449" s="212"/>
      <c r="R449" s="214"/>
      <c r="AB449" s="215"/>
      <c r="AG449" s="215"/>
      <c r="AJ449" s="215"/>
    </row>
    <row r="450" spans="1:36" s="213" customFormat="1" x14ac:dyDescent="0.25">
      <c r="A450" s="212"/>
      <c r="C450" s="212"/>
      <c r="K450" s="212"/>
      <c r="L450" s="212"/>
      <c r="M450" s="212"/>
      <c r="R450" s="214"/>
      <c r="AB450" s="215"/>
      <c r="AG450" s="215"/>
      <c r="AJ450" s="215"/>
    </row>
    <row r="451" spans="1:36" s="213" customFormat="1" x14ac:dyDescent="0.25">
      <c r="A451" s="212"/>
      <c r="C451" s="212"/>
      <c r="K451" s="212"/>
      <c r="L451" s="212"/>
      <c r="M451" s="212"/>
      <c r="R451" s="214"/>
      <c r="AB451" s="215"/>
      <c r="AG451" s="215"/>
      <c r="AJ451" s="215"/>
    </row>
    <row r="452" spans="1:36" s="213" customFormat="1" x14ac:dyDescent="0.25">
      <c r="A452" s="212"/>
      <c r="C452" s="212"/>
      <c r="K452" s="212"/>
      <c r="L452" s="212"/>
      <c r="M452" s="212"/>
      <c r="R452" s="214"/>
      <c r="AB452" s="215"/>
      <c r="AG452" s="215"/>
      <c r="AJ452" s="215"/>
    </row>
    <row r="453" spans="1:36" s="213" customFormat="1" x14ac:dyDescent="0.25">
      <c r="A453" s="212"/>
      <c r="C453" s="212"/>
      <c r="K453" s="212"/>
      <c r="L453" s="212"/>
      <c r="M453" s="212"/>
      <c r="R453" s="214"/>
      <c r="AB453" s="215"/>
      <c r="AG453" s="215"/>
      <c r="AJ453" s="215"/>
    </row>
    <row r="454" spans="1:36" s="213" customFormat="1" x14ac:dyDescent="0.25">
      <c r="A454" s="212"/>
      <c r="C454" s="212"/>
      <c r="K454" s="212"/>
      <c r="L454" s="212"/>
      <c r="M454" s="212"/>
      <c r="R454" s="214"/>
      <c r="AB454" s="215"/>
      <c r="AG454" s="215"/>
      <c r="AJ454" s="215"/>
    </row>
    <row r="455" spans="1:36" s="213" customFormat="1" x14ac:dyDescent="0.25">
      <c r="A455" s="212"/>
      <c r="C455" s="212"/>
      <c r="K455" s="212"/>
      <c r="L455" s="212"/>
      <c r="M455" s="212"/>
      <c r="R455" s="214"/>
      <c r="AB455" s="215"/>
      <c r="AG455" s="215"/>
      <c r="AJ455" s="215"/>
    </row>
    <row r="456" spans="1:36" s="213" customFormat="1" x14ac:dyDescent="0.25">
      <c r="A456" s="212"/>
      <c r="C456" s="212"/>
      <c r="K456" s="212"/>
      <c r="L456" s="212"/>
      <c r="M456" s="212"/>
      <c r="R456" s="214"/>
      <c r="AB456" s="215"/>
      <c r="AG456" s="215"/>
      <c r="AJ456" s="215"/>
    </row>
    <row r="457" spans="1:36" s="213" customFormat="1" x14ac:dyDescent="0.25">
      <c r="A457" s="212"/>
      <c r="C457" s="212"/>
      <c r="K457" s="212"/>
      <c r="L457" s="212"/>
      <c r="M457" s="212"/>
      <c r="R457" s="214"/>
      <c r="AB457" s="215"/>
      <c r="AG457" s="215"/>
      <c r="AJ457" s="215"/>
    </row>
    <row r="458" spans="1:36" s="213" customFormat="1" x14ac:dyDescent="0.25">
      <c r="A458" s="212"/>
      <c r="C458" s="212"/>
      <c r="K458" s="212"/>
      <c r="L458" s="212"/>
      <c r="M458" s="212"/>
      <c r="R458" s="214"/>
      <c r="AB458" s="215"/>
      <c r="AG458" s="215"/>
      <c r="AJ458" s="215"/>
    </row>
    <row r="459" spans="1:36" s="213" customFormat="1" x14ac:dyDescent="0.25">
      <c r="A459" s="212"/>
      <c r="C459" s="212"/>
      <c r="K459" s="212"/>
      <c r="L459" s="212"/>
      <c r="M459" s="212"/>
      <c r="R459" s="214"/>
      <c r="AB459" s="215"/>
      <c r="AG459" s="215"/>
      <c r="AJ459" s="215"/>
    </row>
    <row r="460" spans="1:36" s="213" customFormat="1" x14ac:dyDescent="0.25">
      <c r="A460" s="212"/>
      <c r="C460" s="212"/>
      <c r="K460" s="212"/>
      <c r="L460" s="212"/>
      <c r="M460" s="212"/>
      <c r="R460" s="214"/>
      <c r="AB460" s="215"/>
      <c r="AG460" s="215"/>
      <c r="AJ460" s="215"/>
    </row>
    <row r="461" spans="1:36" s="213" customFormat="1" x14ac:dyDescent="0.25">
      <c r="A461" s="212"/>
      <c r="C461" s="212"/>
      <c r="K461" s="212"/>
      <c r="L461" s="212"/>
      <c r="M461" s="212"/>
      <c r="R461" s="214"/>
      <c r="AB461" s="215"/>
      <c r="AG461" s="215"/>
      <c r="AJ461" s="215"/>
    </row>
    <row r="462" spans="1:36" s="213" customFormat="1" x14ac:dyDescent="0.25">
      <c r="A462" s="212"/>
      <c r="C462" s="212"/>
      <c r="K462" s="212"/>
      <c r="L462" s="212"/>
      <c r="M462" s="212"/>
      <c r="R462" s="214"/>
      <c r="AB462" s="215"/>
      <c r="AG462" s="215"/>
      <c r="AJ462" s="215"/>
    </row>
    <row r="463" spans="1:36" s="213" customFormat="1" x14ac:dyDescent="0.25">
      <c r="A463" s="212"/>
      <c r="C463" s="212"/>
      <c r="K463" s="212"/>
      <c r="L463" s="212"/>
      <c r="M463" s="212"/>
      <c r="R463" s="214"/>
      <c r="AB463" s="215"/>
      <c r="AG463" s="215"/>
      <c r="AJ463" s="215"/>
    </row>
    <row r="464" spans="1:36" s="213" customFormat="1" x14ac:dyDescent="0.25">
      <c r="A464" s="212"/>
      <c r="C464" s="212"/>
      <c r="K464" s="212"/>
      <c r="L464" s="212"/>
      <c r="M464" s="212"/>
      <c r="R464" s="214"/>
      <c r="AB464" s="215"/>
      <c r="AG464" s="215"/>
      <c r="AJ464" s="215"/>
    </row>
    <row r="465" spans="1:36" s="213" customFormat="1" x14ac:dyDescent="0.25">
      <c r="A465" s="212"/>
      <c r="C465" s="212"/>
      <c r="K465" s="212"/>
      <c r="L465" s="212"/>
      <c r="M465" s="212"/>
      <c r="R465" s="214"/>
      <c r="AB465" s="215"/>
      <c r="AG465" s="215"/>
      <c r="AJ465" s="215"/>
    </row>
    <row r="466" spans="1:36" s="213" customFormat="1" x14ac:dyDescent="0.25">
      <c r="A466" s="212"/>
      <c r="C466" s="212"/>
      <c r="K466" s="212"/>
      <c r="L466" s="212"/>
      <c r="M466" s="212"/>
      <c r="R466" s="214"/>
      <c r="AB466" s="215"/>
      <c r="AG466" s="215"/>
      <c r="AJ466" s="215"/>
    </row>
    <row r="467" spans="1:36" s="213" customFormat="1" x14ac:dyDescent="0.25">
      <c r="A467" s="212"/>
      <c r="C467" s="212"/>
      <c r="K467" s="212"/>
      <c r="L467" s="212"/>
      <c r="M467" s="212"/>
      <c r="R467" s="214"/>
      <c r="AB467" s="215"/>
      <c r="AG467" s="215"/>
      <c r="AJ467" s="215"/>
    </row>
    <row r="468" spans="1:36" s="213" customFormat="1" x14ac:dyDescent="0.25">
      <c r="A468" s="212"/>
      <c r="C468" s="212"/>
      <c r="K468" s="212"/>
      <c r="L468" s="212"/>
      <c r="M468" s="212"/>
      <c r="R468" s="214"/>
      <c r="AB468" s="215"/>
      <c r="AG468" s="215"/>
      <c r="AJ468" s="215"/>
    </row>
    <row r="469" spans="1:36" s="213" customFormat="1" x14ac:dyDescent="0.25">
      <c r="A469" s="212"/>
      <c r="C469" s="212"/>
      <c r="K469" s="212"/>
      <c r="L469" s="212"/>
      <c r="M469" s="212"/>
      <c r="R469" s="214"/>
      <c r="AB469" s="215"/>
      <c r="AG469" s="215"/>
      <c r="AJ469" s="215"/>
    </row>
    <row r="470" spans="1:36" s="213" customFormat="1" x14ac:dyDescent="0.25">
      <c r="A470" s="212"/>
      <c r="C470" s="212"/>
      <c r="K470" s="212"/>
      <c r="L470" s="212"/>
      <c r="M470" s="212"/>
      <c r="R470" s="214"/>
      <c r="AB470" s="215"/>
      <c r="AG470" s="215"/>
      <c r="AJ470" s="215"/>
    </row>
    <row r="471" spans="1:36" s="213" customFormat="1" x14ac:dyDescent="0.25">
      <c r="A471" s="212"/>
      <c r="C471" s="212"/>
      <c r="K471" s="212"/>
      <c r="L471" s="212"/>
      <c r="M471" s="212"/>
      <c r="R471" s="214"/>
      <c r="AB471" s="215"/>
      <c r="AG471" s="215"/>
      <c r="AJ471" s="215"/>
    </row>
    <row r="472" spans="1:36" s="213" customFormat="1" x14ac:dyDescent="0.25">
      <c r="A472" s="212"/>
      <c r="C472" s="212"/>
      <c r="K472" s="212"/>
      <c r="L472" s="212"/>
      <c r="M472" s="212"/>
      <c r="R472" s="214"/>
      <c r="AB472" s="215"/>
      <c r="AG472" s="215"/>
      <c r="AJ472" s="215"/>
    </row>
    <row r="473" spans="1:36" s="213" customFormat="1" x14ac:dyDescent="0.25">
      <c r="A473" s="212"/>
      <c r="C473" s="212"/>
      <c r="K473" s="212"/>
      <c r="L473" s="212"/>
      <c r="M473" s="212"/>
      <c r="R473" s="214"/>
      <c r="AB473" s="215"/>
      <c r="AG473" s="215"/>
      <c r="AJ473" s="215"/>
    </row>
    <row r="474" spans="1:36" s="213" customFormat="1" x14ac:dyDescent="0.25">
      <c r="A474" s="212"/>
      <c r="C474" s="212"/>
      <c r="K474" s="212"/>
      <c r="L474" s="212"/>
      <c r="M474" s="212"/>
      <c r="R474" s="214"/>
      <c r="AB474" s="215"/>
      <c r="AG474" s="215"/>
      <c r="AJ474" s="215"/>
    </row>
    <row r="475" spans="1:36" s="213" customFormat="1" x14ac:dyDescent="0.25">
      <c r="A475" s="212"/>
      <c r="C475" s="212"/>
      <c r="K475" s="212"/>
      <c r="L475" s="212"/>
      <c r="M475" s="212"/>
      <c r="R475" s="214"/>
      <c r="AB475" s="215"/>
      <c r="AG475" s="215"/>
      <c r="AJ475" s="215"/>
    </row>
    <row r="476" spans="1:36" s="213" customFormat="1" x14ac:dyDescent="0.25">
      <c r="A476" s="212"/>
      <c r="C476" s="212"/>
      <c r="K476" s="212"/>
      <c r="L476" s="212"/>
      <c r="M476" s="212"/>
      <c r="R476" s="214"/>
      <c r="AB476" s="215"/>
      <c r="AG476" s="215"/>
      <c r="AJ476" s="215"/>
    </row>
    <row r="477" spans="1:36" s="213" customFormat="1" x14ac:dyDescent="0.25">
      <c r="A477" s="212"/>
      <c r="C477" s="212"/>
      <c r="K477" s="212"/>
      <c r="L477" s="212"/>
      <c r="M477" s="212"/>
      <c r="R477" s="214"/>
      <c r="AB477" s="215"/>
      <c r="AG477" s="215"/>
      <c r="AJ477" s="215"/>
    </row>
    <row r="478" spans="1:36" s="213" customFormat="1" x14ac:dyDescent="0.25">
      <c r="A478" s="212"/>
      <c r="C478" s="212"/>
      <c r="K478" s="212"/>
      <c r="L478" s="212"/>
      <c r="M478" s="212"/>
      <c r="R478" s="214"/>
      <c r="AB478" s="215"/>
      <c r="AG478" s="215"/>
      <c r="AJ478" s="215"/>
    </row>
    <row r="479" spans="1:36" s="213" customFormat="1" x14ac:dyDescent="0.25">
      <c r="A479" s="212"/>
      <c r="C479" s="212"/>
      <c r="K479" s="212"/>
      <c r="L479" s="212"/>
      <c r="M479" s="212"/>
      <c r="R479" s="214"/>
      <c r="AB479" s="215"/>
      <c r="AG479" s="215"/>
      <c r="AJ479" s="215"/>
    </row>
    <row r="480" spans="1:36" s="213" customFormat="1" x14ac:dyDescent="0.25">
      <c r="A480" s="212"/>
      <c r="C480" s="212"/>
      <c r="K480" s="212"/>
      <c r="L480" s="212"/>
      <c r="M480" s="212"/>
      <c r="R480" s="214"/>
      <c r="AB480" s="215"/>
      <c r="AG480" s="215"/>
      <c r="AJ480" s="215"/>
    </row>
    <row r="481" spans="1:36" s="213" customFormat="1" x14ac:dyDescent="0.25">
      <c r="A481" s="212"/>
      <c r="C481" s="212"/>
      <c r="K481" s="212"/>
      <c r="L481" s="212"/>
      <c r="M481" s="212"/>
      <c r="R481" s="214"/>
      <c r="AB481" s="215"/>
      <c r="AG481" s="215"/>
      <c r="AJ481" s="215"/>
    </row>
    <row r="482" spans="1:36" s="213" customFormat="1" x14ac:dyDescent="0.25">
      <c r="A482" s="212"/>
      <c r="C482" s="212"/>
      <c r="K482" s="212"/>
      <c r="L482" s="212"/>
      <c r="M482" s="212"/>
      <c r="R482" s="214"/>
      <c r="AB482" s="215"/>
      <c r="AG482" s="215"/>
      <c r="AJ482" s="215"/>
    </row>
    <row r="483" spans="1:36" s="213" customFormat="1" x14ac:dyDescent="0.25">
      <c r="A483" s="212"/>
      <c r="C483" s="212"/>
      <c r="K483" s="212"/>
      <c r="L483" s="212"/>
      <c r="M483" s="212"/>
      <c r="R483" s="214"/>
      <c r="AB483" s="215"/>
      <c r="AG483" s="215"/>
      <c r="AJ483" s="215"/>
    </row>
    <row r="484" spans="1:36" s="213" customFormat="1" x14ac:dyDescent="0.25">
      <c r="A484" s="212"/>
      <c r="C484" s="212"/>
      <c r="K484" s="212"/>
      <c r="L484" s="212"/>
      <c r="M484" s="212"/>
      <c r="R484" s="214"/>
      <c r="AB484" s="215"/>
      <c r="AG484" s="215"/>
      <c r="AJ484" s="215"/>
    </row>
    <row r="485" spans="1:36" s="213" customFormat="1" x14ac:dyDescent="0.25">
      <c r="A485" s="212"/>
      <c r="C485" s="212"/>
      <c r="K485" s="212"/>
      <c r="L485" s="212"/>
      <c r="M485" s="212"/>
      <c r="R485" s="214"/>
      <c r="AB485" s="215"/>
      <c r="AG485" s="215"/>
      <c r="AJ485" s="215"/>
    </row>
    <row r="486" spans="1:36" s="213" customFormat="1" x14ac:dyDescent="0.25">
      <c r="A486" s="212"/>
      <c r="C486" s="212"/>
      <c r="K486" s="212"/>
      <c r="L486" s="212"/>
      <c r="M486" s="212"/>
      <c r="R486" s="214"/>
      <c r="AB486" s="215"/>
      <c r="AG486" s="215"/>
      <c r="AJ486" s="215"/>
    </row>
    <row r="487" spans="1:36" s="213" customFormat="1" x14ac:dyDescent="0.25">
      <c r="A487" s="212"/>
      <c r="C487" s="212"/>
      <c r="K487" s="212"/>
      <c r="L487" s="212"/>
      <c r="M487" s="212"/>
      <c r="R487" s="214"/>
      <c r="AB487" s="215"/>
      <c r="AG487" s="215"/>
      <c r="AJ487" s="215"/>
    </row>
    <row r="488" spans="1:36" s="213" customFormat="1" x14ac:dyDescent="0.25">
      <c r="A488" s="212"/>
      <c r="C488" s="212"/>
      <c r="K488" s="212"/>
      <c r="L488" s="212"/>
      <c r="M488" s="212"/>
      <c r="R488" s="214"/>
      <c r="AB488" s="215"/>
      <c r="AG488" s="215"/>
      <c r="AJ488" s="215"/>
    </row>
    <row r="489" spans="1:36" s="213" customFormat="1" x14ac:dyDescent="0.25">
      <c r="A489" s="212"/>
      <c r="C489" s="212"/>
      <c r="K489" s="212"/>
      <c r="L489" s="212"/>
      <c r="M489" s="212"/>
      <c r="R489" s="214"/>
      <c r="AB489" s="215"/>
      <c r="AG489" s="215"/>
      <c r="AJ489" s="215"/>
    </row>
    <row r="490" spans="1:36" s="213" customFormat="1" x14ac:dyDescent="0.25">
      <c r="A490" s="212"/>
      <c r="C490" s="212"/>
      <c r="K490" s="212"/>
      <c r="L490" s="212"/>
      <c r="M490" s="212"/>
      <c r="R490" s="214"/>
      <c r="AB490" s="215"/>
      <c r="AG490" s="215"/>
      <c r="AJ490" s="215"/>
    </row>
    <row r="491" spans="1:36" s="213" customFormat="1" x14ac:dyDescent="0.25">
      <c r="A491" s="212"/>
      <c r="C491" s="212"/>
      <c r="K491" s="212"/>
      <c r="L491" s="212"/>
      <c r="M491" s="212"/>
      <c r="R491" s="214"/>
      <c r="AB491" s="215"/>
      <c r="AG491" s="215"/>
      <c r="AJ491" s="215"/>
    </row>
    <row r="492" spans="1:36" s="213" customFormat="1" x14ac:dyDescent="0.25">
      <c r="A492" s="212"/>
      <c r="C492" s="212"/>
      <c r="K492" s="212"/>
      <c r="L492" s="212"/>
      <c r="M492" s="212"/>
      <c r="R492" s="214"/>
      <c r="AB492" s="215"/>
      <c r="AG492" s="215"/>
      <c r="AJ492" s="215"/>
    </row>
    <row r="493" spans="1:36" s="213" customFormat="1" x14ac:dyDescent="0.25">
      <c r="A493" s="212"/>
      <c r="C493" s="212"/>
      <c r="K493" s="212"/>
      <c r="L493" s="212"/>
      <c r="M493" s="212"/>
      <c r="R493" s="214"/>
      <c r="AB493" s="215"/>
      <c r="AG493" s="215"/>
      <c r="AJ493" s="215"/>
    </row>
    <row r="494" spans="1:36" s="213" customFormat="1" x14ac:dyDescent="0.25">
      <c r="A494" s="212"/>
      <c r="C494" s="212"/>
      <c r="K494" s="212"/>
      <c r="L494" s="212"/>
      <c r="M494" s="212"/>
      <c r="R494" s="214"/>
      <c r="AB494" s="215"/>
      <c r="AG494" s="215"/>
      <c r="AJ494" s="215"/>
    </row>
    <row r="495" spans="1:36" s="213" customFormat="1" x14ac:dyDescent="0.25">
      <c r="A495" s="212"/>
      <c r="C495" s="212"/>
      <c r="K495" s="212"/>
      <c r="L495" s="212"/>
      <c r="M495" s="212"/>
      <c r="R495" s="214"/>
      <c r="AB495" s="215"/>
      <c r="AG495" s="215"/>
      <c r="AJ495" s="215"/>
    </row>
    <row r="496" spans="1:36" s="213" customFormat="1" x14ac:dyDescent="0.25">
      <c r="A496" s="212"/>
      <c r="C496" s="212"/>
      <c r="K496" s="212"/>
      <c r="L496" s="212"/>
      <c r="M496" s="212"/>
      <c r="R496" s="214"/>
      <c r="AB496" s="215"/>
      <c r="AG496" s="215"/>
      <c r="AJ496" s="215"/>
    </row>
    <row r="497" spans="1:36" s="213" customFormat="1" x14ac:dyDescent="0.25">
      <c r="A497" s="212"/>
      <c r="C497" s="212"/>
      <c r="K497" s="212"/>
      <c r="L497" s="212"/>
      <c r="M497" s="212"/>
      <c r="R497" s="214"/>
      <c r="AB497" s="215"/>
      <c r="AG497" s="215"/>
      <c r="AJ497" s="215"/>
    </row>
    <row r="498" spans="1:36" s="213" customFormat="1" x14ac:dyDescent="0.25">
      <c r="A498" s="212"/>
      <c r="C498" s="212"/>
      <c r="K498" s="212"/>
      <c r="L498" s="212"/>
      <c r="M498" s="212"/>
      <c r="R498" s="214"/>
      <c r="AB498" s="215"/>
      <c r="AG498" s="215"/>
      <c r="AJ498" s="215"/>
    </row>
    <row r="499" spans="1:36" s="213" customFormat="1" x14ac:dyDescent="0.25">
      <c r="A499" s="212"/>
      <c r="C499" s="212"/>
      <c r="K499" s="212"/>
      <c r="L499" s="212"/>
      <c r="M499" s="212"/>
      <c r="R499" s="214"/>
      <c r="AB499" s="215"/>
      <c r="AG499" s="215"/>
      <c r="AJ499" s="215"/>
    </row>
    <row r="500" spans="1:36" s="213" customFormat="1" x14ac:dyDescent="0.25">
      <c r="A500" s="212"/>
      <c r="C500" s="212"/>
      <c r="K500" s="212"/>
      <c r="L500" s="212"/>
      <c r="M500" s="212"/>
      <c r="R500" s="214"/>
      <c r="AB500" s="215"/>
      <c r="AG500" s="215"/>
      <c r="AJ500" s="215"/>
    </row>
    <row r="501" spans="1:36" s="213" customFormat="1" x14ac:dyDescent="0.25">
      <c r="A501" s="212"/>
      <c r="C501" s="212"/>
      <c r="K501" s="212"/>
      <c r="L501" s="212"/>
      <c r="M501" s="212"/>
      <c r="R501" s="214"/>
      <c r="AB501" s="215"/>
      <c r="AG501" s="215"/>
      <c r="AJ501" s="215"/>
    </row>
    <row r="502" spans="1:36" s="213" customFormat="1" x14ac:dyDescent="0.25">
      <c r="A502" s="212"/>
      <c r="C502" s="212"/>
      <c r="K502" s="212"/>
      <c r="L502" s="212"/>
      <c r="M502" s="212"/>
      <c r="R502" s="214"/>
      <c r="AB502" s="215"/>
      <c r="AG502" s="215"/>
      <c r="AJ502" s="215"/>
    </row>
    <row r="503" spans="1:36" s="213" customFormat="1" x14ac:dyDescent="0.25">
      <c r="A503" s="212"/>
      <c r="C503" s="212"/>
      <c r="K503" s="212"/>
      <c r="L503" s="212"/>
      <c r="M503" s="212"/>
      <c r="R503" s="214"/>
      <c r="AB503" s="215"/>
      <c r="AG503" s="215"/>
      <c r="AJ503" s="215"/>
    </row>
    <row r="504" spans="1:36" s="213" customFormat="1" x14ac:dyDescent="0.25">
      <c r="A504" s="212"/>
      <c r="C504" s="212"/>
      <c r="K504" s="212"/>
      <c r="L504" s="212"/>
      <c r="M504" s="212"/>
      <c r="R504" s="214"/>
      <c r="AB504" s="215"/>
      <c r="AG504" s="215"/>
      <c r="AJ504" s="215"/>
    </row>
    <row r="505" spans="1:36" s="213" customFormat="1" x14ac:dyDescent="0.25">
      <c r="A505" s="212"/>
      <c r="C505" s="212"/>
      <c r="K505" s="212"/>
      <c r="L505" s="212"/>
      <c r="M505" s="212"/>
      <c r="R505" s="214"/>
      <c r="AB505" s="215"/>
      <c r="AG505" s="215"/>
      <c r="AJ505" s="215"/>
    </row>
    <row r="506" spans="1:36" s="213" customFormat="1" x14ac:dyDescent="0.25">
      <c r="A506" s="212"/>
      <c r="C506" s="212"/>
      <c r="K506" s="212"/>
      <c r="L506" s="212"/>
      <c r="M506" s="212"/>
      <c r="R506" s="214"/>
      <c r="AB506" s="215"/>
      <c r="AG506" s="215"/>
      <c r="AJ506" s="215"/>
    </row>
    <row r="507" spans="1:36" s="213" customFormat="1" x14ac:dyDescent="0.25">
      <c r="A507" s="212"/>
      <c r="C507" s="212"/>
      <c r="K507" s="212"/>
      <c r="L507" s="212"/>
      <c r="M507" s="212"/>
      <c r="R507" s="214"/>
      <c r="AB507" s="215"/>
      <c r="AG507" s="215"/>
      <c r="AJ507" s="215"/>
    </row>
    <row r="508" spans="1:36" s="213" customFormat="1" x14ac:dyDescent="0.25">
      <c r="A508" s="212"/>
      <c r="C508" s="212"/>
      <c r="K508" s="212"/>
      <c r="L508" s="212"/>
      <c r="M508" s="212"/>
      <c r="R508" s="214"/>
      <c r="AB508" s="215"/>
      <c r="AG508" s="215"/>
      <c r="AJ508" s="215"/>
    </row>
    <row r="509" spans="1:36" s="213" customFormat="1" x14ac:dyDescent="0.25">
      <c r="A509" s="212"/>
      <c r="C509" s="212"/>
      <c r="K509" s="212"/>
      <c r="L509" s="212"/>
      <c r="M509" s="212"/>
      <c r="R509" s="214"/>
      <c r="AB509" s="215"/>
      <c r="AG509" s="215"/>
      <c r="AJ509" s="215"/>
    </row>
    <row r="510" spans="1:36" s="213" customFormat="1" x14ac:dyDescent="0.25">
      <c r="A510" s="212"/>
      <c r="C510" s="212"/>
      <c r="K510" s="212"/>
      <c r="L510" s="212"/>
      <c r="M510" s="212"/>
      <c r="R510" s="214"/>
      <c r="AB510" s="215"/>
      <c r="AG510" s="215"/>
      <c r="AJ510" s="215"/>
    </row>
    <row r="511" spans="1:36" s="213" customFormat="1" x14ac:dyDescent="0.25">
      <c r="A511" s="212"/>
      <c r="C511" s="212"/>
      <c r="K511" s="212"/>
      <c r="L511" s="212"/>
      <c r="M511" s="212"/>
      <c r="R511" s="214"/>
      <c r="AB511" s="215"/>
      <c r="AG511" s="215"/>
      <c r="AJ511" s="215"/>
    </row>
    <row r="512" spans="1:36" s="213" customFormat="1" x14ac:dyDescent="0.25">
      <c r="A512" s="212"/>
      <c r="C512" s="212"/>
      <c r="K512" s="212"/>
      <c r="L512" s="212"/>
      <c r="M512" s="212"/>
      <c r="R512" s="214"/>
      <c r="AB512" s="215"/>
      <c r="AG512" s="215"/>
      <c r="AJ512" s="215"/>
    </row>
    <row r="513" spans="1:36" s="213" customFormat="1" x14ac:dyDescent="0.25">
      <c r="A513" s="212"/>
      <c r="C513" s="212"/>
      <c r="K513" s="212"/>
      <c r="L513" s="212"/>
      <c r="M513" s="212"/>
      <c r="R513" s="214"/>
      <c r="AB513" s="215"/>
      <c r="AG513" s="215"/>
      <c r="AJ513" s="215"/>
    </row>
    <row r="514" spans="1:36" s="213" customFormat="1" x14ac:dyDescent="0.25">
      <c r="A514" s="212"/>
      <c r="C514" s="212"/>
      <c r="K514" s="212"/>
      <c r="L514" s="212"/>
      <c r="M514" s="212"/>
      <c r="R514" s="214"/>
      <c r="AB514" s="215"/>
      <c r="AG514" s="215"/>
      <c r="AJ514" s="215"/>
    </row>
    <row r="515" spans="1:36" s="213" customFormat="1" x14ac:dyDescent="0.25">
      <c r="A515" s="212"/>
      <c r="C515" s="212"/>
      <c r="K515" s="212"/>
      <c r="L515" s="212"/>
      <c r="M515" s="212"/>
      <c r="R515" s="214"/>
      <c r="AB515" s="215"/>
      <c r="AG515" s="215"/>
      <c r="AJ515" s="215"/>
    </row>
    <row r="516" spans="1:36" s="213" customFormat="1" x14ac:dyDescent="0.25">
      <c r="A516" s="212"/>
      <c r="C516" s="212"/>
      <c r="K516" s="212"/>
      <c r="L516" s="212"/>
      <c r="M516" s="212"/>
      <c r="R516" s="214"/>
      <c r="AB516" s="215"/>
      <c r="AG516" s="215"/>
      <c r="AJ516" s="215"/>
    </row>
    <row r="517" spans="1:36" s="213" customFormat="1" x14ac:dyDescent="0.25">
      <c r="A517" s="212"/>
      <c r="C517" s="212"/>
      <c r="K517" s="212"/>
      <c r="L517" s="212"/>
      <c r="M517" s="212"/>
      <c r="R517" s="214"/>
      <c r="AB517" s="215"/>
      <c r="AG517" s="215"/>
      <c r="AJ517" s="215"/>
    </row>
    <row r="518" spans="1:36" s="213" customFormat="1" x14ac:dyDescent="0.25">
      <c r="A518" s="212"/>
      <c r="C518" s="212"/>
      <c r="K518" s="212"/>
      <c r="L518" s="212"/>
      <c r="M518" s="212"/>
      <c r="R518" s="214"/>
      <c r="AB518" s="215"/>
      <c r="AG518" s="215"/>
      <c r="AJ518" s="215"/>
    </row>
    <row r="519" spans="1:36" s="213" customFormat="1" x14ac:dyDescent="0.25">
      <c r="A519" s="212"/>
      <c r="C519" s="212"/>
      <c r="K519" s="212"/>
      <c r="L519" s="212"/>
      <c r="M519" s="212"/>
      <c r="R519" s="214"/>
      <c r="AB519" s="215"/>
      <c r="AG519" s="215"/>
      <c r="AJ519" s="215"/>
    </row>
    <row r="520" spans="1:36" s="213" customFormat="1" x14ac:dyDescent="0.25">
      <c r="A520" s="212"/>
      <c r="C520" s="212"/>
      <c r="K520" s="212"/>
      <c r="L520" s="212"/>
      <c r="M520" s="212"/>
      <c r="R520" s="214"/>
      <c r="AB520" s="215"/>
      <c r="AG520" s="215"/>
      <c r="AJ520" s="215"/>
    </row>
    <row r="521" spans="1:36" s="213" customFormat="1" x14ac:dyDescent="0.25">
      <c r="A521" s="212"/>
      <c r="C521" s="212"/>
      <c r="K521" s="212"/>
      <c r="L521" s="212"/>
      <c r="M521" s="212"/>
      <c r="R521" s="214"/>
      <c r="AB521" s="215"/>
      <c r="AG521" s="215"/>
      <c r="AJ521" s="215"/>
    </row>
    <row r="522" spans="1:36" s="213" customFormat="1" x14ac:dyDescent="0.25">
      <c r="A522" s="212"/>
      <c r="C522" s="212"/>
      <c r="K522" s="212"/>
      <c r="L522" s="212"/>
      <c r="M522" s="212"/>
      <c r="R522" s="214"/>
      <c r="AB522" s="215"/>
      <c r="AG522" s="215"/>
      <c r="AJ522" s="215"/>
    </row>
    <row r="523" spans="1:36" s="213" customFormat="1" x14ac:dyDescent="0.25">
      <c r="A523" s="212"/>
      <c r="C523" s="212"/>
      <c r="K523" s="212"/>
      <c r="L523" s="212"/>
      <c r="M523" s="212"/>
      <c r="R523" s="214"/>
      <c r="AB523" s="215"/>
      <c r="AG523" s="215"/>
      <c r="AJ523" s="215"/>
    </row>
    <row r="524" spans="1:36" s="213" customFormat="1" x14ac:dyDescent="0.25">
      <c r="A524" s="212"/>
      <c r="C524" s="212"/>
      <c r="K524" s="212"/>
      <c r="L524" s="212"/>
      <c r="M524" s="212"/>
      <c r="R524" s="214"/>
      <c r="AB524" s="215"/>
      <c r="AG524" s="215"/>
      <c r="AJ524" s="215"/>
    </row>
    <row r="525" spans="1:36" s="213" customFormat="1" x14ac:dyDescent="0.25">
      <c r="A525" s="212"/>
      <c r="C525" s="212"/>
      <c r="K525" s="212"/>
      <c r="L525" s="212"/>
      <c r="M525" s="212"/>
      <c r="R525" s="214"/>
      <c r="AB525" s="215"/>
      <c r="AG525" s="215"/>
      <c r="AJ525" s="215"/>
    </row>
    <row r="526" spans="1:36" s="213" customFormat="1" x14ac:dyDescent="0.25">
      <c r="A526" s="212"/>
      <c r="C526" s="212"/>
      <c r="K526" s="212"/>
      <c r="L526" s="212"/>
      <c r="M526" s="212"/>
      <c r="R526" s="214"/>
      <c r="AB526" s="215"/>
      <c r="AG526" s="215"/>
      <c r="AJ526" s="215"/>
    </row>
    <row r="527" spans="1:36" s="213" customFormat="1" x14ac:dyDescent="0.25">
      <c r="A527" s="212"/>
      <c r="C527" s="212"/>
      <c r="K527" s="212"/>
      <c r="L527" s="212"/>
      <c r="M527" s="212"/>
      <c r="R527" s="214"/>
      <c r="AB527" s="215"/>
      <c r="AG527" s="215"/>
      <c r="AJ527" s="215"/>
    </row>
    <row r="528" spans="1:36" s="213" customFormat="1" x14ac:dyDescent="0.25">
      <c r="A528" s="212"/>
      <c r="C528" s="212"/>
      <c r="K528" s="212"/>
      <c r="L528" s="212"/>
      <c r="M528" s="212"/>
      <c r="R528" s="214"/>
      <c r="AB528" s="215"/>
      <c r="AG528" s="215"/>
      <c r="AJ528" s="215"/>
    </row>
    <row r="529" spans="1:36" s="213" customFormat="1" x14ac:dyDescent="0.25">
      <c r="A529" s="212"/>
      <c r="C529" s="212"/>
      <c r="K529" s="212"/>
      <c r="L529" s="212"/>
      <c r="M529" s="212"/>
      <c r="R529" s="214"/>
      <c r="AB529" s="215"/>
      <c r="AG529" s="215"/>
      <c r="AJ529" s="215"/>
    </row>
    <row r="530" spans="1:36" s="213" customFormat="1" x14ac:dyDescent="0.25">
      <c r="A530" s="212"/>
      <c r="C530" s="212"/>
      <c r="K530" s="212"/>
      <c r="L530" s="212"/>
      <c r="M530" s="212"/>
      <c r="R530" s="214"/>
      <c r="AB530" s="215"/>
      <c r="AG530" s="215"/>
      <c r="AJ530" s="215"/>
    </row>
    <row r="531" spans="1:36" s="213" customFormat="1" x14ac:dyDescent="0.25">
      <c r="A531" s="212"/>
      <c r="C531" s="212"/>
      <c r="K531" s="212"/>
      <c r="L531" s="212"/>
      <c r="M531" s="212"/>
      <c r="R531" s="214"/>
      <c r="AB531" s="215"/>
      <c r="AG531" s="215"/>
      <c r="AJ531" s="215"/>
    </row>
    <row r="532" spans="1:36" s="213" customFormat="1" x14ac:dyDescent="0.25">
      <c r="A532" s="212"/>
      <c r="C532" s="212"/>
      <c r="K532" s="212"/>
      <c r="L532" s="212"/>
      <c r="M532" s="212"/>
      <c r="R532" s="214"/>
      <c r="AB532" s="215"/>
      <c r="AG532" s="215"/>
      <c r="AJ532" s="215"/>
    </row>
    <row r="533" spans="1:36" s="213" customFormat="1" x14ac:dyDescent="0.25">
      <c r="A533" s="212"/>
      <c r="C533" s="212"/>
      <c r="K533" s="212"/>
      <c r="L533" s="212"/>
      <c r="M533" s="212"/>
      <c r="R533" s="214"/>
      <c r="AB533" s="215"/>
      <c r="AG533" s="215"/>
      <c r="AJ533" s="215"/>
    </row>
    <row r="534" spans="1:36" s="213" customFormat="1" x14ac:dyDescent="0.25">
      <c r="A534" s="212"/>
      <c r="C534" s="212"/>
      <c r="K534" s="212"/>
      <c r="L534" s="212"/>
      <c r="M534" s="212"/>
      <c r="R534" s="214"/>
      <c r="AB534" s="215"/>
      <c r="AG534" s="215"/>
      <c r="AJ534" s="215"/>
    </row>
    <row r="535" spans="1:36" s="213" customFormat="1" x14ac:dyDescent="0.25">
      <c r="A535" s="212"/>
      <c r="C535" s="212"/>
      <c r="K535" s="212"/>
      <c r="L535" s="212"/>
      <c r="M535" s="212"/>
      <c r="R535" s="214"/>
      <c r="AB535" s="215"/>
      <c r="AG535" s="215"/>
      <c r="AJ535" s="215"/>
    </row>
    <row r="536" spans="1:36" s="213" customFormat="1" x14ac:dyDescent="0.25">
      <c r="A536" s="212"/>
      <c r="C536" s="212"/>
      <c r="K536" s="212"/>
      <c r="L536" s="212"/>
      <c r="M536" s="212"/>
      <c r="R536" s="214"/>
      <c r="AB536" s="215"/>
      <c r="AG536" s="215"/>
      <c r="AJ536" s="215"/>
    </row>
    <row r="537" spans="1:36" s="213" customFormat="1" x14ac:dyDescent="0.25">
      <c r="A537" s="212"/>
      <c r="C537" s="212"/>
      <c r="K537" s="212"/>
      <c r="L537" s="212"/>
      <c r="M537" s="212"/>
      <c r="R537" s="214"/>
      <c r="AB537" s="215"/>
      <c r="AG537" s="215"/>
      <c r="AJ537" s="215"/>
    </row>
    <row r="538" spans="1:36" s="213" customFormat="1" x14ac:dyDescent="0.25">
      <c r="A538" s="212"/>
      <c r="C538" s="212"/>
      <c r="K538" s="212"/>
      <c r="L538" s="212"/>
      <c r="M538" s="212"/>
      <c r="R538" s="214"/>
      <c r="AB538" s="215"/>
      <c r="AG538" s="215"/>
      <c r="AJ538" s="215"/>
    </row>
    <row r="539" spans="1:36" s="213" customFormat="1" x14ac:dyDescent="0.25">
      <c r="A539" s="212"/>
      <c r="C539" s="212"/>
      <c r="K539" s="212"/>
      <c r="L539" s="212"/>
      <c r="M539" s="212"/>
      <c r="R539" s="214"/>
      <c r="AB539" s="215"/>
      <c r="AG539" s="215"/>
      <c r="AJ539" s="215"/>
    </row>
    <row r="540" spans="1:36" s="213" customFormat="1" x14ac:dyDescent="0.25">
      <c r="A540" s="212"/>
      <c r="C540" s="212"/>
      <c r="K540" s="212"/>
      <c r="L540" s="212"/>
      <c r="M540" s="212"/>
      <c r="R540" s="214"/>
      <c r="AB540" s="215"/>
      <c r="AG540" s="215"/>
      <c r="AJ540" s="215"/>
    </row>
    <row r="541" spans="1:36" s="213" customFormat="1" x14ac:dyDescent="0.25">
      <c r="A541" s="212"/>
      <c r="C541" s="212"/>
      <c r="K541" s="212"/>
      <c r="L541" s="212"/>
      <c r="M541" s="212"/>
      <c r="R541" s="214"/>
      <c r="AB541" s="215"/>
      <c r="AG541" s="215"/>
      <c r="AJ541" s="215"/>
    </row>
    <row r="542" spans="1:36" s="213" customFormat="1" x14ac:dyDescent="0.25">
      <c r="A542" s="212"/>
      <c r="C542" s="212"/>
      <c r="K542" s="212"/>
      <c r="L542" s="212"/>
      <c r="M542" s="212"/>
      <c r="R542" s="214"/>
      <c r="AB542" s="215"/>
      <c r="AG542" s="215"/>
      <c r="AJ542" s="215"/>
    </row>
    <row r="543" spans="1:36" s="213" customFormat="1" x14ac:dyDescent="0.25">
      <c r="A543" s="212"/>
      <c r="C543" s="212"/>
      <c r="K543" s="212"/>
      <c r="L543" s="212"/>
      <c r="M543" s="212"/>
      <c r="R543" s="214"/>
      <c r="AB543" s="215"/>
      <c r="AG543" s="215"/>
      <c r="AJ543" s="215"/>
    </row>
    <row r="544" spans="1:36" s="213" customFormat="1" x14ac:dyDescent="0.25">
      <c r="A544" s="212"/>
      <c r="C544" s="212"/>
      <c r="K544" s="212"/>
      <c r="L544" s="212"/>
      <c r="M544" s="212"/>
      <c r="R544" s="214"/>
      <c r="AB544" s="215"/>
      <c r="AG544" s="215"/>
      <c r="AJ544" s="215"/>
    </row>
    <row r="545" spans="1:36" s="213" customFormat="1" x14ac:dyDescent="0.25">
      <c r="A545" s="212"/>
      <c r="C545" s="212"/>
      <c r="K545" s="212"/>
      <c r="L545" s="212"/>
      <c r="M545" s="212"/>
      <c r="R545" s="214"/>
      <c r="AB545" s="215"/>
      <c r="AG545" s="215"/>
      <c r="AJ545" s="215"/>
    </row>
    <row r="546" spans="1:36" s="213" customFormat="1" x14ac:dyDescent="0.25">
      <c r="A546" s="212"/>
      <c r="C546" s="212"/>
      <c r="K546" s="212"/>
      <c r="L546" s="212"/>
      <c r="M546" s="212"/>
      <c r="R546" s="214"/>
      <c r="AB546" s="215"/>
      <c r="AG546" s="215"/>
      <c r="AJ546" s="215"/>
    </row>
    <row r="547" spans="1:36" s="213" customFormat="1" x14ac:dyDescent="0.25">
      <c r="A547" s="212"/>
      <c r="C547" s="212"/>
      <c r="K547" s="212"/>
      <c r="L547" s="212"/>
      <c r="M547" s="212"/>
      <c r="R547" s="214"/>
      <c r="AB547" s="215"/>
      <c r="AG547" s="215"/>
      <c r="AJ547" s="215"/>
    </row>
    <row r="548" spans="1:36" s="213" customFormat="1" x14ac:dyDescent="0.25">
      <c r="A548" s="212"/>
      <c r="C548" s="212"/>
      <c r="K548" s="212"/>
      <c r="L548" s="212"/>
      <c r="M548" s="212"/>
      <c r="R548" s="214"/>
      <c r="AB548" s="215"/>
      <c r="AG548" s="215"/>
      <c r="AJ548" s="215"/>
    </row>
    <row r="549" spans="1:36" s="213" customFormat="1" x14ac:dyDescent="0.25">
      <c r="A549" s="212"/>
      <c r="C549" s="212"/>
      <c r="K549" s="212"/>
      <c r="L549" s="212"/>
      <c r="M549" s="212"/>
      <c r="R549" s="214"/>
      <c r="AB549" s="215"/>
      <c r="AG549" s="215"/>
      <c r="AJ549" s="215"/>
    </row>
    <row r="550" spans="1:36" s="213" customFormat="1" x14ac:dyDescent="0.25">
      <c r="A550" s="212"/>
      <c r="C550" s="212"/>
      <c r="K550" s="212"/>
      <c r="L550" s="212"/>
      <c r="M550" s="212"/>
      <c r="R550" s="214"/>
      <c r="AB550" s="215"/>
      <c r="AG550" s="215"/>
      <c r="AJ550" s="215"/>
    </row>
    <row r="551" spans="1:36" s="213" customFormat="1" x14ac:dyDescent="0.25">
      <c r="A551" s="212"/>
      <c r="C551" s="212"/>
      <c r="K551" s="212"/>
      <c r="L551" s="212"/>
      <c r="M551" s="212"/>
      <c r="R551" s="214"/>
      <c r="AB551" s="215"/>
      <c r="AG551" s="215"/>
      <c r="AJ551" s="215"/>
    </row>
    <row r="552" spans="1:36" s="213" customFormat="1" x14ac:dyDescent="0.25">
      <c r="A552" s="212"/>
      <c r="C552" s="212"/>
      <c r="K552" s="212"/>
      <c r="L552" s="212"/>
      <c r="M552" s="212"/>
      <c r="R552" s="214"/>
      <c r="AB552" s="215"/>
      <c r="AG552" s="215"/>
      <c r="AJ552" s="215"/>
    </row>
    <row r="553" spans="1:36" s="213" customFormat="1" x14ac:dyDescent="0.25">
      <c r="A553" s="212"/>
      <c r="C553" s="212"/>
      <c r="K553" s="212"/>
      <c r="L553" s="212"/>
      <c r="M553" s="212"/>
      <c r="R553" s="214"/>
      <c r="AB553" s="215"/>
      <c r="AG553" s="215"/>
      <c r="AJ553" s="215"/>
    </row>
    <row r="554" spans="1:36" s="213" customFormat="1" x14ac:dyDescent="0.25">
      <c r="A554" s="212"/>
      <c r="C554" s="212"/>
      <c r="K554" s="212"/>
      <c r="L554" s="212"/>
      <c r="M554" s="212"/>
      <c r="R554" s="214"/>
      <c r="AB554" s="215"/>
      <c r="AG554" s="215"/>
      <c r="AJ554" s="215"/>
    </row>
    <row r="555" spans="1:36" s="213" customFormat="1" x14ac:dyDescent="0.25">
      <c r="A555" s="212"/>
      <c r="C555" s="212"/>
      <c r="K555" s="212"/>
      <c r="L555" s="212"/>
      <c r="M555" s="212"/>
      <c r="R555" s="214"/>
      <c r="AB555" s="215"/>
      <c r="AG555" s="215"/>
      <c r="AJ555" s="215"/>
    </row>
    <row r="556" spans="1:36" s="213" customFormat="1" x14ac:dyDescent="0.25">
      <c r="A556" s="212"/>
      <c r="C556" s="212"/>
      <c r="K556" s="212"/>
      <c r="L556" s="212"/>
      <c r="M556" s="212"/>
      <c r="R556" s="214"/>
      <c r="AB556" s="215"/>
      <c r="AG556" s="215"/>
      <c r="AJ556" s="215"/>
    </row>
    <row r="557" spans="1:36" s="213" customFormat="1" x14ac:dyDescent="0.25">
      <c r="A557" s="212"/>
      <c r="C557" s="212"/>
      <c r="K557" s="212"/>
      <c r="L557" s="212"/>
      <c r="M557" s="212"/>
      <c r="R557" s="214"/>
      <c r="AB557" s="215"/>
      <c r="AG557" s="215"/>
      <c r="AJ557" s="215"/>
    </row>
    <row r="558" spans="1:36" s="213" customFormat="1" x14ac:dyDescent="0.25">
      <c r="A558" s="212"/>
      <c r="C558" s="212"/>
      <c r="K558" s="212"/>
      <c r="L558" s="212"/>
      <c r="M558" s="212"/>
      <c r="R558" s="214"/>
      <c r="AB558" s="215"/>
      <c r="AG558" s="215"/>
      <c r="AJ558" s="215"/>
    </row>
    <row r="559" spans="1:36" s="213" customFormat="1" x14ac:dyDescent="0.25">
      <c r="A559" s="212"/>
      <c r="C559" s="212"/>
      <c r="K559" s="212"/>
      <c r="L559" s="212"/>
      <c r="M559" s="212"/>
      <c r="R559" s="214"/>
      <c r="AB559" s="215"/>
      <c r="AG559" s="215"/>
      <c r="AJ559" s="215"/>
    </row>
    <row r="560" spans="1:36" s="213" customFormat="1" x14ac:dyDescent="0.25">
      <c r="A560" s="212"/>
      <c r="C560" s="212"/>
      <c r="K560" s="212"/>
      <c r="L560" s="212"/>
      <c r="M560" s="212"/>
      <c r="R560" s="214"/>
      <c r="AB560" s="215"/>
      <c r="AG560" s="215"/>
      <c r="AJ560" s="215"/>
    </row>
    <row r="561" spans="1:36" s="213" customFormat="1" x14ac:dyDescent="0.25">
      <c r="A561" s="212"/>
      <c r="C561" s="212"/>
      <c r="K561" s="212"/>
      <c r="L561" s="212"/>
      <c r="M561" s="212"/>
      <c r="R561" s="214"/>
      <c r="AB561" s="215"/>
      <c r="AG561" s="215"/>
      <c r="AJ561" s="215"/>
    </row>
    <row r="562" spans="1:36" s="213" customFormat="1" x14ac:dyDescent="0.25">
      <c r="A562" s="212"/>
      <c r="C562" s="212"/>
      <c r="K562" s="212"/>
      <c r="L562" s="212"/>
      <c r="M562" s="212"/>
      <c r="R562" s="214"/>
      <c r="AB562" s="215"/>
      <c r="AG562" s="215"/>
      <c r="AJ562" s="215"/>
    </row>
    <row r="563" spans="1:36" s="213" customFormat="1" x14ac:dyDescent="0.25">
      <c r="A563" s="212"/>
      <c r="C563" s="212"/>
      <c r="K563" s="212"/>
      <c r="L563" s="212"/>
      <c r="M563" s="212"/>
      <c r="R563" s="214"/>
      <c r="AB563" s="215"/>
      <c r="AG563" s="215"/>
      <c r="AJ563" s="215"/>
    </row>
    <row r="564" spans="1:36" s="213" customFormat="1" x14ac:dyDescent="0.25">
      <c r="A564" s="212"/>
      <c r="C564" s="212"/>
      <c r="K564" s="212"/>
      <c r="L564" s="212"/>
      <c r="M564" s="212"/>
      <c r="R564" s="214"/>
      <c r="AB564" s="215"/>
      <c r="AG564" s="215"/>
      <c r="AJ564" s="215"/>
    </row>
    <row r="565" spans="1:36" s="213" customFormat="1" x14ac:dyDescent="0.25">
      <c r="A565" s="212"/>
      <c r="C565" s="212"/>
      <c r="K565" s="212"/>
      <c r="L565" s="212"/>
      <c r="M565" s="212"/>
      <c r="R565" s="214"/>
      <c r="AB565" s="215"/>
      <c r="AG565" s="215"/>
      <c r="AJ565" s="215"/>
    </row>
    <row r="566" spans="1:36" s="213" customFormat="1" x14ac:dyDescent="0.25">
      <c r="A566" s="212"/>
      <c r="C566" s="212"/>
      <c r="K566" s="212"/>
      <c r="L566" s="212"/>
      <c r="M566" s="212"/>
      <c r="R566" s="214"/>
      <c r="AB566" s="215"/>
      <c r="AG566" s="215"/>
      <c r="AJ566" s="215"/>
    </row>
    <row r="567" spans="1:36" s="213" customFormat="1" x14ac:dyDescent="0.25">
      <c r="A567" s="212"/>
      <c r="C567" s="212"/>
      <c r="K567" s="212"/>
      <c r="L567" s="212"/>
      <c r="M567" s="212"/>
      <c r="R567" s="214"/>
      <c r="AB567" s="215"/>
      <c r="AG567" s="215"/>
      <c r="AJ567" s="215"/>
    </row>
    <row r="568" spans="1:36" s="213" customFormat="1" x14ac:dyDescent="0.25">
      <c r="A568" s="212"/>
      <c r="C568" s="212"/>
      <c r="K568" s="212"/>
      <c r="L568" s="212"/>
      <c r="M568" s="212"/>
      <c r="R568" s="214"/>
      <c r="AB568" s="215"/>
      <c r="AG568" s="215"/>
      <c r="AJ568" s="215"/>
    </row>
    <row r="569" spans="1:36" s="213" customFormat="1" x14ac:dyDescent="0.25">
      <c r="A569" s="212"/>
      <c r="C569" s="212"/>
      <c r="K569" s="212"/>
      <c r="L569" s="212"/>
      <c r="M569" s="212"/>
      <c r="R569" s="214"/>
      <c r="AB569" s="215"/>
      <c r="AG569" s="215"/>
      <c r="AJ569" s="215"/>
    </row>
    <row r="570" spans="1:36" s="213" customFormat="1" x14ac:dyDescent="0.25">
      <c r="A570" s="212"/>
      <c r="C570" s="212"/>
      <c r="K570" s="212"/>
      <c r="L570" s="212"/>
      <c r="M570" s="212"/>
      <c r="R570" s="214"/>
      <c r="AB570" s="215"/>
      <c r="AG570" s="215"/>
      <c r="AJ570" s="215"/>
    </row>
    <row r="571" spans="1:36" s="213" customFormat="1" x14ac:dyDescent="0.25">
      <c r="A571" s="212"/>
      <c r="C571" s="212"/>
      <c r="K571" s="212"/>
      <c r="L571" s="212"/>
      <c r="M571" s="212"/>
      <c r="R571" s="214"/>
      <c r="AB571" s="215"/>
      <c r="AG571" s="215"/>
      <c r="AJ571" s="215"/>
    </row>
    <row r="572" spans="1:36" s="213" customFormat="1" x14ac:dyDescent="0.25">
      <c r="A572" s="212"/>
      <c r="C572" s="212"/>
      <c r="K572" s="212"/>
      <c r="L572" s="212"/>
      <c r="M572" s="212"/>
      <c r="R572" s="214"/>
      <c r="AB572" s="215"/>
      <c r="AG572" s="215"/>
      <c r="AJ572" s="215"/>
    </row>
    <row r="573" spans="1:36" s="213" customFormat="1" x14ac:dyDescent="0.25">
      <c r="A573" s="212"/>
      <c r="C573" s="212"/>
      <c r="K573" s="212"/>
      <c r="L573" s="212"/>
      <c r="M573" s="212"/>
      <c r="R573" s="214"/>
      <c r="AB573" s="215"/>
      <c r="AG573" s="215"/>
      <c r="AJ573" s="215"/>
    </row>
    <row r="574" spans="1:36" s="213" customFormat="1" x14ac:dyDescent="0.25">
      <c r="A574" s="212"/>
      <c r="C574" s="212"/>
      <c r="K574" s="212"/>
      <c r="L574" s="212"/>
      <c r="M574" s="212"/>
      <c r="R574" s="214"/>
      <c r="AB574" s="215"/>
      <c r="AG574" s="215"/>
      <c r="AJ574" s="215"/>
    </row>
    <row r="575" spans="1:36" s="213" customFormat="1" x14ac:dyDescent="0.25">
      <c r="A575" s="212"/>
      <c r="C575" s="212"/>
      <c r="K575" s="212"/>
      <c r="L575" s="212"/>
      <c r="M575" s="212"/>
      <c r="R575" s="214"/>
      <c r="AB575" s="215"/>
      <c r="AG575" s="215"/>
      <c r="AJ575" s="215"/>
    </row>
    <row r="576" spans="1:36" s="213" customFormat="1" x14ac:dyDescent="0.25">
      <c r="A576" s="212"/>
      <c r="C576" s="212"/>
      <c r="K576" s="212"/>
      <c r="L576" s="212"/>
      <c r="M576" s="212"/>
      <c r="R576" s="214"/>
      <c r="AB576" s="215"/>
      <c r="AG576" s="215"/>
      <c r="AJ576" s="215"/>
    </row>
    <row r="577" spans="1:36" s="213" customFormat="1" x14ac:dyDescent="0.25">
      <c r="A577" s="212"/>
      <c r="C577" s="212"/>
      <c r="K577" s="212"/>
      <c r="L577" s="212"/>
      <c r="M577" s="212"/>
      <c r="R577" s="214"/>
      <c r="AB577" s="215"/>
      <c r="AG577" s="215"/>
      <c r="AJ577" s="215"/>
    </row>
    <row r="578" spans="1:36" s="213" customFormat="1" x14ac:dyDescent="0.25">
      <c r="A578" s="212"/>
      <c r="C578" s="212"/>
      <c r="K578" s="212"/>
      <c r="L578" s="212"/>
      <c r="M578" s="212"/>
      <c r="R578" s="214"/>
      <c r="AB578" s="215"/>
      <c r="AG578" s="215"/>
      <c r="AJ578" s="215"/>
    </row>
    <row r="579" spans="1:36" s="213" customFormat="1" x14ac:dyDescent="0.25">
      <c r="A579" s="212"/>
      <c r="C579" s="212"/>
      <c r="K579" s="212"/>
      <c r="L579" s="212"/>
      <c r="M579" s="212"/>
      <c r="R579" s="214"/>
      <c r="AB579" s="215"/>
      <c r="AG579" s="215"/>
      <c r="AJ579" s="215"/>
    </row>
    <row r="580" spans="1:36" s="213" customFormat="1" x14ac:dyDescent="0.25">
      <c r="A580" s="212"/>
      <c r="C580" s="212"/>
      <c r="K580" s="212"/>
      <c r="L580" s="212"/>
      <c r="M580" s="212"/>
      <c r="R580" s="214"/>
      <c r="AB580" s="215"/>
      <c r="AG580" s="215"/>
      <c r="AJ580" s="215"/>
    </row>
    <row r="581" spans="1:36" s="213" customFormat="1" x14ac:dyDescent="0.25">
      <c r="A581" s="212"/>
      <c r="C581" s="212"/>
      <c r="K581" s="212"/>
      <c r="L581" s="212"/>
      <c r="M581" s="212"/>
      <c r="R581" s="214"/>
      <c r="AB581" s="215"/>
      <c r="AG581" s="215"/>
      <c r="AJ581" s="215"/>
    </row>
    <row r="582" spans="1:36" s="213" customFormat="1" x14ac:dyDescent="0.25">
      <c r="A582" s="212"/>
      <c r="C582" s="212"/>
      <c r="K582" s="212"/>
      <c r="L582" s="212"/>
      <c r="M582" s="212"/>
      <c r="R582" s="214"/>
      <c r="AB582" s="215"/>
      <c r="AG582" s="215"/>
      <c r="AJ582" s="215"/>
    </row>
    <row r="583" spans="1:36" s="213" customFormat="1" x14ac:dyDescent="0.25">
      <c r="A583" s="212"/>
      <c r="C583" s="212"/>
      <c r="K583" s="212"/>
      <c r="L583" s="212"/>
      <c r="M583" s="212"/>
      <c r="R583" s="214"/>
      <c r="AB583" s="215"/>
      <c r="AG583" s="215"/>
      <c r="AJ583" s="215"/>
    </row>
    <row r="584" spans="1:36" s="213" customFormat="1" x14ac:dyDescent="0.25">
      <c r="A584" s="212"/>
      <c r="C584" s="212"/>
      <c r="K584" s="212"/>
      <c r="L584" s="212"/>
      <c r="M584" s="212"/>
      <c r="R584" s="214"/>
      <c r="AB584" s="215"/>
      <c r="AG584" s="215"/>
      <c r="AJ584" s="215"/>
    </row>
    <row r="585" spans="1:36" s="213" customFormat="1" x14ac:dyDescent="0.25">
      <c r="A585" s="212"/>
      <c r="C585" s="212"/>
      <c r="K585" s="212"/>
      <c r="L585" s="212"/>
      <c r="M585" s="212"/>
      <c r="R585" s="214"/>
      <c r="AB585" s="215"/>
      <c r="AG585" s="215"/>
      <c r="AJ585" s="215"/>
    </row>
    <row r="586" spans="1:36" s="213" customFormat="1" x14ac:dyDescent="0.25">
      <c r="A586" s="212"/>
      <c r="C586" s="212"/>
      <c r="K586" s="212"/>
      <c r="L586" s="212"/>
      <c r="M586" s="212"/>
      <c r="R586" s="214"/>
      <c r="AB586" s="215"/>
      <c r="AG586" s="215"/>
      <c r="AJ586" s="215"/>
    </row>
    <row r="587" spans="1:36" s="213" customFormat="1" x14ac:dyDescent="0.25">
      <c r="A587" s="212"/>
      <c r="C587" s="212"/>
      <c r="K587" s="212"/>
      <c r="L587" s="212"/>
      <c r="M587" s="212"/>
      <c r="R587" s="214"/>
      <c r="AB587" s="215"/>
      <c r="AG587" s="215"/>
      <c r="AJ587" s="215"/>
    </row>
    <row r="588" spans="1:36" s="213" customFormat="1" x14ac:dyDescent="0.25">
      <c r="A588" s="212"/>
      <c r="C588" s="212"/>
      <c r="K588" s="212"/>
      <c r="L588" s="212"/>
      <c r="M588" s="212"/>
      <c r="R588" s="214"/>
      <c r="AB588" s="215"/>
      <c r="AG588" s="215"/>
      <c r="AJ588" s="215"/>
    </row>
    <row r="589" spans="1:36" s="213" customFormat="1" x14ac:dyDescent="0.25">
      <c r="A589" s="212"/>
      <c r="C589" s="212"/>
      <c r="K589" s="212"/>
      <c r="L589" s="212"/>
      <c r="M589" s="212"/>
      <c r="R589" s="214"/>
      <c r="AB589" s="215"/>
      <c r="AG589" s="215"/>
      <c r="AJ589" s="215"/>
    </row>
    <row r="590" spans="1:36" s="213" customFormat="1" x14ac:dyDescent="0.25">
      <c r="A590" s="212"/>
      <c r="C590" s="212"/>
      <c r="K590" s="212"/>
      <c r="L590" s="212"/>
      <c r="M590" s="212"/>
      <c r="R590" s="214"/>
      <c r="AB590" s="215"/>
      <c r="AG590" s="215"/>
      <c r="AJ590" s="215"/>
    </row>
    <row r="591" spans="1:36" s="213" customFormat="1" x14ac:dyDescent="0.25">
      <c r="A591" s="212"/>
      <c r="C591" s="212"/>
      <c r="K591" s="212"/>
      <c r="L591" s="212"/>
      <c r="M591" s="212"/>
      <c r="R591" s="214"/>
      <c r="AB591" s="215"/>
      <c r="AG591" s="215"/>
      <c r="AJ591" s="215"/>
    </row>
    <row r="592" spans="1:36" s="213" customFormat="1" x14ac:dyDescent="0.25">
      <c r="A592" s="212"/>
      <c r="C592" s="212"/>
      <c r="K592" s="212"/>
      <c r="L592" s="212"/>
      <c r="M592" s="212"/>
      <c r="R592" s="214"/>
      <c r="AB592" s="215"/>
      <c r="AG592" s="215"/>
      <c r="AJ592" s="215"/>
    </row>
    <row r="593" spans="1:36" s="213" customFormat="1" x14ac:dyDescent="0.25">
      <c r="A593" s="212"/>
      <c r="C593" s="212"/>
      <c r="K593" s="212"/>
      <c r="L593" s="212"/>
      <c r="M593" s="212"/>
      <c r="R593" s="214"/>
      <c r="AB593" s="215"/>
      <c r="AG593" s="215"/>
      <c r="AJ593" s="215"/>
    </row>
    <row r="594" spans="1:36" s="213" customFormat="1" x14ac:dyDescent="0.25">
      <c r="A594" s="212"/>
      <c r="C594" s="212"/>
      <c r="K594" s="212"/>
      <c r="L594" s="212"/>
      <c r="M594" s="212"/>
      <c r="R594" s="214"/>
      <c r="AB594" s="215"/>
      <c r="AG594" s="215"/>
      <c r="AJ594" s="215"/>
    </row>
    <row r="595" spans="1:36" s="213" customFormat="1" x14ac:dyDescent="0.25">
      <c r="A595" s="212"/>
      <c r="C595" s="212"/>
      <c r="K595" s="212"/>
      <c r="L595" s="212"/>
      <c r="M595" s="212"/>
      <c r="R595" s="214"/>
      <c r="AB595" s="215"/>
      <c r="AG595" s="215"/>
      <c r="AJ595" s="215"/>
    </row>
    <row r="596" spans="1:36" s="213" customFormat="1" x14ac:dyDescent="0.25">
      <c r="A596" s="212"/>
      <c r="C596" s="212"/>
      <c r="K596" s="212"/>
      <c r="L596" s="212"/>
      <c r="M596" s="212"/>
      <c r="R596" s="214"/>
      <c r="AB596" s="215"/>
      <c r="AG596" s="215"/>
      <c r="AJ596" s="215"/>
    </row>
    <row r="597" spans="1:36" s="213" customFormat="1" x14ac:dyDescent="0.25">
      <c r="A597" s="212"/>
      <c r="C597" s="212"/>
      <c r="K597" s="212"/>
      <c r="L597" s="212"/>
      <c r="M597" s="212"/>
      <c r="R597" s="214"/>
      <c r="AB597" s="215"/>
      <c r="AG597" s="215"/>
      <c r="AJ597" s="215"/>
    </row>
    <row r="598" spans="1:36" s="213" customFormat="1" x14ac:dyDescent="0.25">
      <c r="A598" s="212"/>
      <c r="C598" s="212"/>
      <c r="K598" s="212"/>
      <c r="L598" s="212"/>
      <c r="M598" s="212"/>
      <c r="R598" s="214"/>
      <c r="AB598" s="215"/>
      <c r="AG598" s="215"/>
      <c r="AJ598" s="215"/>
    </row>
    <row r="599" spans="1:36" s="213" customFormat="1" x14ac:dyDescent="0.25">
      <c r="A599" s="212"/>
      <c r="C599" s="212"/>
      <c r="K599" s="212"/>
      <c r="L599" s="212"/>
      <c r="M599" s="212"/>
      <c r="R599" s="214"/>
      <c r="AB599" s="215"/>
      <c r="AG599" s="215"/>
      <c r="AJ599" s="215"/>
    </row>
    <row r="600" spans="1:36" s="213" customFormat="1" x14ac:dyDescent="0.25">
      <c r="A600" s="212"/>
      <c r="C600" s="212"/>
      <c r="K600" s="212"/>
      <c r="L600" s="212"/>
      <c r="M600" s="212"/>
      <c r="R600" s="214"/>
      <c r="AB600" s="215"/>
      <c r="AG600" s="215"/>
      <c r="AJ600" s="215"/>
    </row>
    <row r="601" spans="1:36" s="213" customFormat="1" x14ac:dyDescent="0.25">
      <c r="A601" s="212"/>
      <c r="C601" s="212"/>
      <c r="K601" s="212"/>
      <c r="L601" s="212"/>
      <c r="M601" s="212"/>
      <c r="R601" s="214"/>
      <c r="AB601" s="215"/>
      <c r="AG601" s="215"/>
      <c r="AJ601" s="215"/>
    </row>
    <row r="602" spans="1:36" s="213" customFormat="1" x14ac:dyDescent="0.25">
      <c r="A602" s="212"/>
      <c r="C602" s="212"/>
      <c r="K602" s="212"/>
      <c r="L602" s="212"/>
      <c r="M602" s="212"/>
      <c r="R602" s="214"/>
      <c r="AB602" s="215"/>
      <c r="AG602" s="215"/>
      <c r="AJ602" s="215"/>
    </row>
    <row r="603" spans="1:36" s="213" customFormat="1" x14ac:dyDescent="0.25">
      <c r="A603" s="212"/>
      <c r="C603" s="212"/>
      <c r="K603" s="212"/>
      <c r="L603" s="212"/>
      <c r="M603" s="212"/>
      <c r="R603" s="214"/>
      <c r="AB603" s="215"/>
      <c r="AG603" s="215"/>
      <c r="AJ603" s="215"/>
    </row>
    <row r="604" spans="1:36" s="213" customFormat="1" x14ac:dyDescent="0.25">
      <c r="A604" s="212"/>
      <c r="C604" s="212"/>
      <c r="K604" s="212"/>
      <c r="L604" s="212"/>
      <c r="M604" s="212"/>
      <c r="R604" s="214"/>
      <c r="AB604" s="215"/>
      <c r="AG604" s="215"/>
      <c r="AJ604" s="215"/>
    </row>
    <row r="605" spans="1:36" s="213" customFormat="1" x14ac:dyDescent="0.25">
      <c r="A605" s="212"/>
      <c r="C605" s="212"/>
      <c r="K605" s="212"/>
      <c r="L605" s="212"/>
      <c r="M605" s="212"/>
      <c r="R605" s="214"/>
      <c r="AB605" s="215"/>
      <c r="AG605" s="215"/>
      <c r="AJ605" s="215"/>
    </row>
    <row r="606" spans="1:36" s="213" customFormat="1" x14ac:dyDescent="0.25">
      <c r="A606" s="212"/>
      <c r="C606" s="212"/>
      <c r="K606" s="212"/>
      <c r="L606" s="212"/>
      <c r="M606" s="212"/>
      <c r="R606" s="214"/>
      <c r="AB606" s="215"/>
      <c r="AG606" s="215"/>
      <c r="AJ606" s="215"/>
    </row>
    <row r="607" spans="1:36" s="213" customFormat="1" x14ac:dyDescent="0.25">
      <c r="A607" s="212"/>
      <c r="C607" s="212"/>
      <c r="K607" s="212"/>
      <c r="L607" s="212"/>
      <c r="M607" s="212"/>
      <c r="R607" s="214"/>
      <c r="AB607" s="215"/>
      <c r="AG607" s="215"/>
      <c r="AJ607" s="215"/>
    </row>
    <row r="608" spans="1:36" s="213" customFormat="1" x14ac:dyDescent="0.25">
      <c r="A608" s="212"/>
      <c r="C608" s="212"/>
      <c r="K608" s="212"/>
      <c r="L608" s="212"/>
      <c r="M608" s="212"/>
      <c r="R608" s="214"/>
      <c r="AB608" s="215"/>
      <c r="AG608" s="215"/>
      <c r="AJ608" s="215"/>
    </row>
    <row r="609" spans="1:36" s="213" customFormat="1" x14ac:dyDescent="0.25">
      <c r="A609" s="212"/>
      <c r="C609" s="212"/>
      <c r="K609" s="212"/>
      <c r="L609" s="212"/>
      <c r="M609" s="212"/>
      <c r="R609" s="214"/>
      <c r="AB609" s="215"/>
      <c r="AG609" s="215"/>
      <c r="AJ609" s="215"/>
    </row>
    <row r="610" spans="1:36" s="213" customFormat="1" x14ac:dyDescent="0.25">
      <c r="A610" s="212"/>
      <c r="C610" s="212"/>
      <c r="K610" s="212"/>
      <c r="L610" s="212"/>
      <c r="M610" s="212"/>
      <c r="R610" s="214"/>
      <c r="AB610" s="215"/>
      <c r="AG610" s="215"/>
      <c r="AJ610" s="215"/>
    </row>
    <row r="611" spans="1:36" s="213" customFormat="1" x14ac:dyDescent="0.25">
      <c r="A611" s="212"/>
      <c r="C611" s="212"/>
      <c r="K611" s="212"/>
      <c r="L611" s="212"/>
      <c r="M611" s="212"/>
      <c r="R611" s="214"/>
      <c r="AB611" s="215"/>
      <c r="AG611" s="215"/>
      <c r="AJ611" s="215"/>
    </row>
    <row r="612" spans="1:36" s="213" customFormat="1" x14ac:dyDescent="0.25">
      <c r="A612" s="212"/>
      <c r="C612" s="212"/>
      <c r="K612" s="212"/>
      <c r="L612" s="212"/>
      <c r="M612" s="212"/>
      <c r="R612" s="214"/>
      <c r="AB612" s="215"/>
      <c r="AG612" s="215"/>
      <c r="AJ612" s="215"/>
    </row>
    <row r="613" spans="1:36" s="213" customFormat="1" x14ac:dyDescent="0.25">
      <c r="A613" s="212"/>
      <c r="C613" s="212"/>
      <c r="K613" s="212"/>
      <c r="L613" s="212"/>
      <c r="M613" s="212"/>
      <c r="R613" s="214"/>
      <c r="AB613" s="215"/>
      <c r="AG613" s="215"/>
      <c r="AJ613" s="215"/>
    </row>
    <row r="614" spans="1:36" s="213" customFormat="1" x14ac:dyDescent="0.25">
      <c r="A614" s="212"/>
      <c r="C614" s="212"/>
      <c r="K614" s="212"/>
      <c r="L614" s="212"/>
      <c r="M614" s="212"/>
      <c r="R614" s="214"/>
      <c r="AB614" s="215"/>
      <c r="AG614" s="215"/>
      <c r="AJ614" s="215"/>
    </row>
    <row r="615" spans="1:36" s="213" customFormat="1" x14ac:dyDescent="0.25">
      <c r="A615" s="212"/>
      <c r="C615" s="212"/>
      <c r="K615" s="212"/>
      <c r="L615" s="212"/>
      <c r="M615" s="212"/>
      <c r="R615" s="214"/>
      <c r="AB615" s="215"/>
      <c r="AG615" s="215"/>
      <c r="AJ615" s="215"/>
    </row>
    <row r="616" spans="1:36" s="213" customFormat="1" x14ac:dyDescent="0.25">
      <c r="A616" s="212"/>
      <c r="C616" s="212"/>
      <c r="K616" s="212"/>
      <c r="L616" s="212"/>
      <c r="M616" s="212"/>
      <c r="R616" s="214"/>
      <c r="AB616" s="215"/>
      <c r="AG616" s="215"/>
      <c r="AJ616" s="215"/>
    </row>
    <row r="617" spans="1:36" s="213" customFormat="1" x14ac:dyDescent="0.25">
      <c r="A617" s="212"/>
      <c r="C617" s="212"/>
      <c r="K617" s="212"/>
      <c r="L617" s="212"/>
      <c r="M617" s="212"/>
      <c r="R617" s="214"/>
      <c r="AB617" s="215"/>
      <c r="AG617" s="215"/>
      <c r="AJ617" s="215"/>
    </row>
    <row r="618" spans="1:36" s="213" customFormat="1" x14ac:dyDescent="0.25">
      <c r="A618" s="212"/>
      <c r="C618" s="212"/>
      <c r="K618" s="212"/>
      <c r="L618" s="212"/>
      <c r="M618" s="212"/>
      <c r="R618" s="214"/>
      <c r="AB618" s="215"/>
      <c r="AG618" s="215"/>
      <c r="AJ618" s="215"/>
    </row>
    <row r="619" spans="1:36" s="213" customFormat="1" x14ac:dyDescent="0.25">
      <c r="A619" s="212"/>
      <c r="C619" s="212"/>
      <c r="K619" s="212"/>
      <c r="L619" s="212"/>
      <c r="M619" s="212"/>
      <c r="R619" s="214"/>
      <c r="AB619" s="215"/>
      <c r="AG619" s="215"/>
      <c r="AJ619" s="215"/>
    </row>
    <row r="620" spans="1:36" s="213" customFormat="1" x14ac:dyDescent="0.25">
      <c r="A620" s="212"/>
      <c r="C620" s="212"/>
      <c r="K620" s="212"/>
      <c r="L620" s="212"/>
      <c r="M620" s="212"/>
      <c r="R620" s="214"/>
      <c r="AB620" s="215"/>
      <c r="AG620" s="215"/>
      <c r="AJ620" s="215"/>
    </row>
    <row r="621" spans="1:36" s="213" customFormat="1" x14ac:dyDescent="0.25">
      <c r="A621" s="212"/>
      <c r="C621" s="212"/>
      <c r="K621" s="212"/>
      <c r="L621" s="212"/>
      <c r="M621" s="212"/>
      <c r="R621" s="214"/>
      <c r="AB621" s="215"/>
      <c r="AG621" s="215"/>
      <c r="AJ621" s="215"/>
    </row>
    <row r="622" spans="1:36" s="213" customFormat="1" x14ac:dyDescent="0.25">
      <c r="A622" s="212"/>
      <c r="C622" s="212"/>
      <c r="K622" s="212"/>
      <c r="L622" s="212"/>
      <c r="M622" s="212"/>
      <c r="R622" s="214"/>
      <c r="AB622" s="215"/>
      <c r="AG622" s="215"/>
      <c r="AJ622" s="215"/>
    </row>
    <row r="623" spans="1:36" s="213" customFormat="1" x14ac:dyDescent="0.25">
      <c r="A623" s="212"/>
      <c r="C623" s="212"/>
      <c r="K623" s="212"/>
      <c r="L623" s="212"/>
      <c r="M623" s="212"/>
      <c r="R623" s="214"/>
      <c r="AB623" s="215"/>
      <c r="AG623" s="215"/>
      <c r="AJ623" s="215"/>
    </row>
    <row r="624" spans="1:36" s="213" customFormat="1" x14ac:dyDescent="0.25">
      <c r="A624" s="212"/>
      <c r="C624" s="212"/>
      <c r="K624" s="212"/>
      <c r="L624" s="212"/>
      <c r="M624" s="212"/>
      <c r="R624" s="214"/>
      <c r="AB624" s="215"/>
      <c r="AG624" s="215"/>
      <c r="AJ624" s="215"/>
    </row>
    <row r="625" spans="1:36" s="213" customFormat="1" x14ac:dyDescent="0.25">
      <c r="A625" s="212"/>
      <c r="C625" s="212"/>
      <c r="K625" s="212"/>
      <c r="L625" s="212"/>
      <c r="M625" s="212"/>
      <c r="R625" s="214"/>
      <c r="AB625" s="215"/>
      <c r="AG625" s="215"/>
      <c r="AJ625" s="215"/>
    </row>
    <row r="626" spans="1:36" s="213" customFormat="1" x14ac:dyDescent="0.25">
      <c r="A626" s="212"/>
      <c r="C626" s="212"/>
      <c r="K626" s="212"/>
      <c r="L626" s="212"/>
      <c r="M626" s="212"/>
      <c r="R626" s="214"/>
      <c r="AB626" s="215"/>
      <c r="AG626" s="215"/>
      <c r="AJ626" s="215"/>
    </row>
    <row r="627" spans="1:36" s="213" customFormat="1" x14ac:dyDescent="0.25">
      <c r="A627" s="212"/>
      <c r="C627" s="212"/>
      <c r="K627" s="212"/>
      <c r="L627" s="212"/>
      <c r="M627" s="212"/>
      <c r="R627" s="214"/>
      <c r="AB627" s="215"/>
      <c r="AG627" s="215"/>
      <c r="AJ627" s="215"/>
    </row>
    <row r="628" spans="1:36" s="213" customFormat="1" x14ac:dyDescent="0.25">
      <c r="A628" s="212"/>
      <c r="C628" s="212"/>
      <c r="K628" s="212"/>
      <c r="L628" s="212"/>
      <c r="M628" s="212"/>
      <c r="R628" s="214"/>
      <c r="AB628" s="215"/>
      <c r="AG628" s="215"/>
      <c r="AJ628" s="215"/>
    </row>
    <row r="629" spans="1:36" s="213" customFormat="1" x14ac:dyDescent="0.25">
      <c r="A629" s="212"/>
      <c r="C629" s="212"/>
      <c r="K629" s="212"/>
      <c r="L629" s="212"/>
      <c r="M629" s="212"/>
      <c r="R629" s="214"/>
      <c r="AB629" s="215"/>
      <c r="AG629" s="215"/>
      <c r="AJ629" s="215"/>
    </row>
    <row r="630" spans="1:36" s="213" customFormat="1" x14ac:dyDescent="0.25">
      <c r="A630" s="212"/>
      <c r="C630" s="212"/>
      <c r="K630" s="212"/>
      <c r="L630" s="212"/>
      <c r="M630" s="212"/>
      <c r="R630" s="214"/>
      <c r="AB630" s="215"/>
      <c r="AG630" s="215"/>
      <c r="AJ630" s="215"/>
    </row>
    <row r="631" spans="1:36" s="213" customFormat="1" x14ac:dyDescent="0.25">
      <c r="A631" s="212"/>
      <c r="C631" s="212"/>
      <c r="K631" s="212"/>
      <c r="L631" s="212"/>
      <c r="M631" s="212"/>
      <c r="R631" s="214"/>
      <c r="AB631" s="215"/>
      <c r="AG631" s="215"/>
      <c r="AJ631" s="215"/>
    </row>
    <row r="632" spans="1:36" s="213" customFormat="1" x14ac:dyDescent="0.25">
      <c r="A632" s="212"/>
      <c r="C632" s="212"/>
      <c r="K632" s="212"/>
      <c r="L632" s="212"/>
      <c r="M632" s="212"/>
      <c r="R632" s="214"/>
      <c r="AB632" s="215"/>
      <c r="AG632" s="215"/>
      <c r="AJ632" s="215"/>
    </row>
    <row r="633" spans="1:36" s="213" customFormat="1" x14ac:dyDescent="0.25">
      <c r="A633" s="212"/>
      <c r="C633" s="212"/>
      <c r="K633" s="212"/>
      <c r="L633" s="212"/>
      <c r="M633" s="212"/>
      <c r="R633" s="214"/>
      <c r="AB633" s="215"/>
      <c r="AG633" s="215"/>
      <c r="AJ633" s="215"/>
    </row>
    <row r="634" spans="1:36" s="213" customFormat="1" x14ac:dyDescent="0.25">
      <c r="A634" s="212"/>
      <c r="C634" s="212"/>
      <c r="K634" s="212"/>
      <c r="L634" s="212"/>
      <c r="M634" s="212"/>
      <c r="R634" s="214"/>
      <c r="AB634" s="215"/>
      <c r="AG634" s="215"/>
      <c r="AJ634" s="215"/>
    </row>
    <row r="635" spans="1:36" s="213" customFormat="1" x14ac:dyDescent="0.25">
      <c r="A635" s="212"/>
      <c r="C635" s="212"/>
      <c r="K635" s="212"/>
      <c r="L635" s="212"/>
      <c r="M635" s="212"/>
      <c r="R635" s="214"/>
      <c r="AB635" s="215"/>
      <c r="AG635" s="215"/>
      <c r="AJ635" s="215"/>
    </row>
    <row r="636" spans="1:36" s="213" customFormat="1" x14ac:dyDescent="0.25">
      <c r="A636" s="212"/>
      <c r="C636" s="212"/>
      <c r="K636" s="212"/>
      <c r="L636" s="212"/>
      <c r="M636" s="212"/>
      <c r="R636" s="214"/>
      <c r="AB636" s="215"/>
      <c r="AG636" s="215"/>
      <c r="AJ636" s="215"/>
    </row>
    <row r="637" spans="1:36" s="213" customFormat="1" x14ac:dyDescent="0.25">
      <c r="A637" s="212"/>
      <c r="C637" s="212"/>
      <c r="K637" s="212"/>
      <c r="L637" s="212"/>
      <c r="M637" s="212"/>
      <c r="R637" s="214"/>
      <c r="AB637" s="215"/>
      <c r="AG637" s="215"/>
      <c r="AJ637" s="215"/>
    </row>
    <row r="638" spans="1:36" s="213" customFormat="1" x14ac:dyDescent="0.25">
      <c r="A638" s="212"/>
      <c r="C638" s="212"/>
      <c r="K638" s="212"/>
      <c r="L638" s="212"/>
      <c r="M638" s="212"/>
      <c r="R638" s="214"/>
      <c r="AB638" s="215"/>
      <c r="AG638" s="215"/>
      <c r="AJ638" s="215"/>
    </row>
    <row r="639" spans="1:36" s="213" customFormat="1" x14ac:dyDescent="0.25">
      <c r="A639" s="212"/>
      <c r="C639" s="212"/>
      <c r="K639" s="212"/>
      <c r="L639" s="212"/>
      <c r="M639" s="212"/>
      <c r="R639" s="214"/>
      <c r="AB639" s="215"/>
      <c r="AG639" s="215"/>
      <c r="AJ639" s="215"/>
    </row>
    <row r="640" spans="1:36" s="213" customFormat="1" x14ac:dyDescent="0.25">
      <c r="A640" s="212"/>
      <c r="C640" s="212"/>
      <c r="K640" s="212"/>
      <c r="L640" s="212"/>
      <c r="M640" s="212"/>
      <c r="R640" s="214"/>
      <c r="AB640" s="215"/>
      <c r="AG640" s="215"/>
      <c r="AJ640" s="215"/>
    </row>
    <row r="641" spans="1:36" s="213" customFormat="1" x14ac:dyDescent="0.25">
      <c r="A641" s="212"/>
      <c r="C641" s="212"/>
      <c r="K641" s="212"/>
      <c r="L641" s="212"/>
      <c r="M641" s="212"/>
      <c r="R641" s="214"/>
      <c r="AB641" s="215"/>
      <c r="AG641" s="215"/>
      <c r="AJ641" s="215"/>
    </row>
    <row r="642" spans="1:36" s="213" customFormat="1" x14ac:dyDescent="0.25">
      <c r="A642" s="212"/>
      <c r="C642" s="212"/>
      <c r="K642" s="212"/>
      <c r="L642" s="212"/>
      <c r="M642" s="212"/>
      <c r="R642" s="214"/>
      <c r="AB642" s="215"/>
      <c r="AG642" s="215"/>
      <c r="AJ642" s="215"/>
    </row>
    <row r="643" spans="1:36" s="213" customFormat="1" x14ac:dyDescent="0.25">
      <c r="A643" s="212"/>
      <c r="C643" s="212"/>
      <c r="K643" s="212"/>
      <c r="L643" s="212"/>
      <c r="M643" s="212"/>
      <c r="R643" s="214"/>
      <c r="AB643" s="215"/>
      <c r="AG643" s="215"/>
      <c r="AJ643" s="215"/>
    </row>
    <row r="644" spans="1:36" s="213" customFormat="1" x14ac:dyDescent="0.25">
      <c r="A644" s="212"/>
      <c r="C644" s="212"/>
      <c r="K644" s="212"/>
      <c r="L644" s="212"/>
      <c r="M644" s="212"/>
      <c r="R644" s="214"/>
      <c r="AB644" s="215"/>
      <c r="AG644" s="215"/>
      <c r="AJ644" s="215"/>
    </row>
    <row r="645" spans="1:36" s="213" customFormat="1" x14ac:dyDescent="0.25">
      <c r="A645" s="212"/>
      <c r="C645" s="212"/>
      <c r="K645" s="212"/>
      <c r="L645" s="212"/>
      <c r="M645" s="212"/>
      <c r="R645" s="214"/>
      <c r="AB645" s="215"/>
      <c r="AG645" s="215"/>
      <c r="AJ645" s="215"/>
    </row>
    <row r="646" spans="1:36" s="213" customFormat="1" x14ac:dyDescent="0.25">
      <c r="A646" s="212"/>
      <c r="C646" s="212"/>
      <c r="K646" s="212"/>
      <c r="L646" s="212"/>
      <c r="M646" s="212"/>
      <c r="R646" s="214"/>
      <c r="AB646" s="215"/>
      <c r="AG646" s="215"/>
      <c r="AJ646" s="215"/>
    </row>
    <row r="647" spans="1:36" s="213" customFormat="1" x14ac:dyDescent="0.25">
      <c r="A647" s="212"/>
      <c r="C647" s="212"/>
      <c r="K647" s="212"/>
      <c r="L647" s="212"/>
      <c r="M647" s="212"/>
      <c r="R647" s="214"/>
      <c r="AB647" s="215"/>
      <c r="AG647" s="215"/>
      <c r="AJ647" s="215"/>
    </row>
    <row r="648" spans="1:36" s="213" customFormat="1" x14ac:dyDescent="0.25">
      <c r="A648" s="212"/>
      <c r="C648" s="212"/>
      <c r="K648" s="212"/>
      <c r="L648" s="212"/>
      <c r="M648" s="212"/>
      <c r="R648" s="214"/>
      <c r="AB648" s="215"/>
      <c r="AG648" s="215"/>
      <c r="AJ648" s="215"/>
    </row>
    <row r="649" spans="1:36" s="213" customFormat="1" x14ac:dyDescent="0.25">
      <c r="A649" s="212"/>
      <c r="C649" s="212"/>
      <c r="K649" s="212"/>
      <c r="L649" s="212"/>
      <c r="M649" s="212"/>
      <c r="R649" s="214"/>
      <c r="AB649" s="215"/>
      <c r="AG649" s="215"/>
      <c r="AJ649" s="215"/>
    </row>
    <row r="650" spans="1:36" s="213" customFormat="1" x14ac:dyDescent="0.25">
      <c r="A650" s="212"/>
      <c r="C650" s="212"/>
      <c r="K650" s="212"/>
      <c r="L650" s="212"/>
      <c r="M650" s="212"/>
      <c r="R650" s="214"/>
      <c r="AB650" s="215"/>
      <c r="AG650" s="215"/>
      <c r="AJ650" s="215"/>
    </row>
    <row r="651" spans="1:36" s="213" customFormat="1" x14ac:dyDescent="0.25">
      <c r="A651" s="212"/>
      <c r="C651" s="212"/>
      <c r="K651" s="212"/>
      <c r="L651" s="212"/>
      <c r="M651" s="212"/>
      <c r="R651" s="214"/>
      <c r="AB651" s="215"/>
      <c r="AG651" s="215"/>
      <c r="AJ651" s="215"/>
    </row>
    <row r="652" spans="1:36" s="213" customFormat="1" x14ac:dyDescent="0.25">
      <c r="A652" s="212"/>
      <c r="C652" s="212"/>
      <c r="K652" s="212"/>
      <c r="L652" s="212"/>
      <c r="M652" s="212"/>
      <c r="R652" s="214"/>
      <c r="AB652" s="215"/>
      <c r="AG652" s="215"/>
      <c r="AJ652" s="215"/>
    </row>
    <row r="653" spans="1:36" s="213" customFormat="1" x14ac:dyDescent="0.25">
      <c r="A653" s="212"/>
      <c r="C653" s="212"/>
      <c r="K653" s="212"/>
      <c r="L653" s="212"/>
      <c r="M653" s="212"/>
      <c r="R653" s="214"/>
      <c r="AB653" s="215"/>
      <c r="AG653" s="215"/>
      <c r="AJ653" s="215"/>
    </row>
    <row r="654" spans="1:36" s="213" customFormat="1" x14ac:dyDescent="0.25">
      <c r="A654" s="212"/>
      <c r="C654" s="212"/>
      <c r="K654" s="212"/>
      <c r="L654" s="212"/>
      <c r="M654" s="212"/>
      <c r="R654" s="214"/>
      <c r="AB654" s="215"/>
      <c r="AG654" s="215"/>
      <c r="AJ654" s="215"/>
    </row>
    <row r="655" spans="1:36" s="213" customFormat="1" x14ac:dyDescent="0.25">
      <c r="A655" s="212"/>
      <c r="C655" s="212"/>
      <c r="K655" s="212"/>
      <c r="L655" s="212"/>
      <c r="M655" s="212"/>
      <c r="R655" s="214"/>
      <c r="AB655" s="215"/>
      <c r="AG655" s="215"/>
      <c r="AJ655" s="215"/>
    </row>
    <row r="656" spans="1:36" s="213" customFormat="1" x14ac:dyDescent="0.25">
      <c r="A656" s="212"/>
      <c r="C656" s="212"/>
      <c r="K656" s="212"/>
      <c r="L656" s="212"/>
      <c r="M656" s="212"/>
      <c r="R656" s="214"/>
      <c r="AB656" s="215"/>
      <c r="AG656" s="215"/>
      <c r="AJ656" s="215"/>
    </row>
    <row r="657" spans="1:36" s="213" customFormat="1" x14ac:dyDescent="0.25">
      <c r="A657" s="212"/>
      <c r="C657" s="212"/>
      <c r="K657" s="212"/>
      <c r="L657" s="212"/>
      <c r="M657" s="212"/>
      <c r="R657" s="214"/>
      <c r="AB657" s="215"/>
      <c r="AG657" s="215"/>
      <c r="AJ657" s="215"/>
    </row>
    <row r="658" spans="1:36" s="213" customFormat="1" x14ac:dyDescent="0.25">
      <c r="A658" s="212"/>
      <c r="C658" s="212"/>
      <c r="K658" s="212"/>
      <c r="L658" s="212"/>
      <c r="M658" s="212"/>
      <c r="R658" s="214"/>
      <c r="AB658" s="215"/>
      <c r="AG658" s="215"/>
      <c r="AJ658" s="215"/>
    </row>
    <row r="659" spans="1:36" s="213" customFormat="1" x14ac:dyDescent="0.25">
      <c r="A659" s="212"/>
      <c r="C659" s="212"/>
      <c r="K659" s="212"/>
      <c r="L659" s="212"/>
      <c r="M659" s="212"/>
      <c r="R659" s="214"/>
      <c r="AB659" s="215"/>
      <c r="AG659" s="215"/>
      <c r="AJ659" s="215"/>
    </row>
    <row r="660" spans="1:36" s="213" customFormat="1" x14ac:dyDescent="0.25">
      <c r="A660" s="212"/>
      <c r="C660" s="212"/>
      <c r="K660" s="212"/>
      <c r="L660" s="212"/>
      <c r="M660" s="212"/>
      <c r="R660" s="214"/>
      <c r="AB660" s="215"/>
      <c r="AG660" s="215"/>
      <c r="AJ660" s="215"/>
    </row>
    <row r="661" spans="1:36" s="213" customFormat="1" x14ac:dyDescent="0.25">
      <c r="A661" s="212"/>
      <c r="C661" s="212"/>
      <c r="K661" s="212"/>
      <c r="L661" s="212"/>
      <c r="M661" s="212"/>
      <c r="R661" s="214"/>
      <c r="AB661" s="215"/>
      <c r="AG661" s="215"/>
      <c r="AJ661" s="215"/>
    </row>
    <row r="662" spans="1:36" s="213" customFormat="1" x14ac:dyDescent="0.25">
      <c r="A662" s="212"/>
      <c r="C662" s="212"/>
      <c r="K662" s="212"/>
      <c r="L662" s="212"/>
      <c r="M662" s="212"/>
      <c r="R662" s="214"/>
      <c r="AB662" s="215"/>
      <c r="AG662" s="215"/>
      <c r="AJ662" s="215"/>
    </row>
    <row r="663" spans="1:36" s="213" customFormat="1" x14ac:dyDescent="0.25">
      <c r="A663" s="212"/>
      <c r="C663" s="212"/>
      <c r="K663" s="212"/>
      <c r="L663" s="212"/>
      <c r="M663" s="212"/>
      <c r="R663" s="214"/>
      <c r="AB663" s="215"/>
      <c r="AG663" s="215"/>
      <c r="AJ663" s="215"/>
    </row>
    <row r="664" spans="1:36" s="213" customFormat="1" x14ac:dyDescent="0.25">
      <c r="A664" s="212"/>
      <c r="C664" s="212"/>
      <c r="K664" s="212"/>
      <c r="L664" s="212"/>
      <c r="M664" s="212"/>
      <c r="R664" s="214"/>
      <c r="AB664" s="215"/>
      <c r="AG664" s="215"/>
      <c r="AJ664" s="215"/>
    </row>
    <row r="665" spans="1:36" s="213" customFormat="1" x14ac:dyDescent="0.25">
      <c r="A665" s="212"/>
      <c r="C665" s="212"/>
      <c r="K665" s="212"/>
      <c r="L665" s="212"/>
      <c r="M665" s="212"/>
      <c r="R665" s="214"/>
      <c r="AB665" s="215"/>
      <c r="AG665" s="215"/>
      <c r="AJ665" s="215"/>
    </row>
    <row r="666" spans="1:36" s="213" customFormat="1" x14ac:dyDescent="0.25">
      <c r="A666" s="212"/>
      <c r="C666" s="212"/>
      <c r="K666" s="212"/>
      <c r="L666" s="212"/>
      <c r="M666" s="212"/>
      <c r="R666" s="214"/>
      <c r="AB666" s="215"/>
      <c r="AG666" s="215"/>
      <c r="AJ666" s="215"/>
    </row>
    <row r="667" spans="1:36" s="213" customFormat="1" x14ac:dyDescent="0.25">
      <c r="A667" s="212"/>
      <c r="C667" s="212"/>
      <c r="K667" s="212"/>
      <c r="L667" s="212"/>
      <c r="M667" s="212"/>
      <c r="R667" s="214"/>
      <c r="AB667" s="215"/>
      <c r="AG667" s="215"/>
      <c r="AJ667" s="215"/>
    </row>
    <row r="668" spans="1:36" s="213" customFormat="1" x14ac:dyDescent="0.25">
      <c r="A668" s="212"/>
      <c r="C668" s="212"/>
      <c r="K668" s="212"/>
      <c r="L668" s="212"/>
      <c r="M668" s="212"/>
      <c r="R668" s="214"/>
      <c r="AB668" s="215"/>
      <c r="AG668" s="215"/>
      <c r="AJ668" s="215"/>
    </row>
    <row r="669" spans="1:36" s="213" customFormat="1" x14ac:dyDescent="0.25">
      <c r="A669" s="212"/>
      <c r="C669" s="212"/>
      <c r="K669" s="212"/>
      <c r="L669" s="212"/>
      <c r="M669" s="212"/>
      <c r="R669" s="214"/>
      <c r="AB669" s="215"/>
      <c r="AG669" s="215"/>
      <c r="AJ669" s="215"/>
    </row>
    <row r="670" spans="1:36" s="213" customFormat="1" x14ac:dyDescent="0.25">
      <c r="A670" s="212"/>
      <c r="C670" s="212"/>
      <c r="K670" s="212"/>
      <c r="L670" s="212"/>
      <c r="M670" s="212"/>
      <c r="R670" s="214"/>
      <c r="AB670" s="215"/>
      <c r="AG670" s="215"/>
      <c r="AJ670" s="215"/>
    </row>
    <row r="671" spans="1:36" s="213" customFormat="1" x14ac:dyDescent="0.25">
      <c r="A671" s="212"/>
      <c r="C671" s="212"/>
      <c r="K671" s="212"/>
      <c r="L671" s="212"/>
      <c r="M671" s="212"/>
      <c r="R671" s="214"/>
      <c r="AB671" s="215"/>
      <c r="AG671" s="215"/>
      <c r="AJ671" s="215"/>
    </row>
    <row r="672" spans="1:36" s="213" customFormat="1" x14ac:dyDescent="0.25">
      <c r="A672" s="212"/>
      <c r="C672" s="212"/>
      <c r="K672" s="212"/>
      <c r="L672" s="212"/>
      <c r="M672" s="212"/>
      <c r="R672" s="214"/>
      <c r="AB672" s="215"/>
      <c r="AG672" s="215"/>
      <c r="AJ672" s="215"/>
    </row>
    <row r="673" spans="1:36" s="213" customFormat="1" x14ac:dyDescent="0.25">
      <c r="A673" s="212"/>
      <c r="C673" s="212"/>
      <c r="K673" s="212"/>
      <c r="L673" s="212"/>
      <c r="M673" s="212"/>
      <c r="R673" s="214"/>
      <c r="AB673" s="215"/>
      <c r="AG673" s="215"/>
      <c r="AJ673" s="215"/>
    </row>
    <row r="674" spans="1:36" s="213" customFormat="1" x14ac:dyDescent="0.25">
      <c r="A674" s="212"/>
      <c r="C674" s="212"/>
      <c r="K674" s="212"/>
      <c r="L674" s="212"/>
      <c r="M674" s="212"/>
      <c r="R674" s="214"/>
      <c r="AB674" s="215"/>
      <c r="AG674" s="215"/>
      <c r="AJ674" s="215"/>
    </row>
    <row r="675" spans="1:36" s="213" customFormat="1" x14ac:dyDescent="0.25">
      <c r="A675" s="212"/>
      <c r="C675" s="212"/>
      <c r="K675" s="212"/>
      <c r="L675" s="212"/>
      <c r="M675" s="212"/>
      <c r="R675" s="214"/>
      <c r="AB675" s="215"/>
      <c r="AG675" s="215"/>
      <c r="AJ675" s="215"/>
    </row>
    <row r="676" spans="1:36" s="213" customFormat="1" x14ac:dyDescent="0.25">
      <c r="A676" s="212"/>
      <c r="C676" s="212"/>
      <c r="K676" s="212"/>
      <c r="L676" s="212"/>
      <c r="M676" s="212"/>
      <c r="R676" s="214"/>
      <c r="AB676" s="215"/>
      <c r="AG676" s="215"/>
      <c r="AJ676" s="215"/>
    </row>
    <row r="677" spans="1:36" s="213" customFormat="1" x14ac:dyDescent="0.25">
      <c r="A677" s="212"/>
      <c r="C677" s="212"/>
      <c r="K677" s="212"/>
      <c r="L677" s="212"/>
      <c r="M677" s="212"/>
      <c r="R677" s="214"/>
      <c r="AB677" s="215"/>
      <c r="AG677" s="215"/>
      <c r="AJ677" s="215"/>
    </row>
    <row r="678" spans="1:36" s="213" customFormat="1" x14ac:dyDescent="0.25">
      <c r="A678" s="212"/>
      <c r="C678" s="212"/>
      <c r="K678" s="212"/>
      <c r="L678" s="212"/>
      <c r="M678" s="212"/>
      <c r="R678" s="214"/>
      <c r="AB678" s="215"/>
      <c r="AG678" s="215"/>
      <c r="AJ678" s="215"/>
    </row>
    <row r="679" spans="1:36" s="213" customFormat="1" x14ac:dyDescent="0.25">
      <c r="A679" s="212"/>
      <c r="C679" s="212"/>
      <c r="K679" s="212"/>
      <c r="L679" s="212"/>
      <c r="M679" s="212"/>
      <c r="R679" s="214"/>
      <c r="AB679" s="215"/>
      <c r="AG679" s="215"/>
      <c r="AJ679" s="215"/>
    </row>
    <row r="680" spans="1:36" s="213" customFormat="1" x14ac:dyDescent="0.25">
      <c r="A680" s="212"/>
      <c r="C680" s="212"/>
      <c r="K680" s="212"/>
      <c r="L680" s="212"/>
      <c r="M680" s="212"/>
      <c r="R680" s="214"/>
      <c r="AB680" s="215"/>
      <c r="AG680" s="215"/>
      <c r="AJ680" s="215"/>
    </row>
    <row r="681" spans="1:36" s="213" customFormat="1" x14ac:dyDescent="0.25">
      <c r="A681" s="212"/>
      <c r="C681" s="212"/>
      <c r="K681" s="212"/>
      <c r="L681" s="212"/>
      <c r="M681" s="212"/>
      <c r="R681" s="214"/>
      <c r="AB681" s="215"/>
      <c r="AG681" s="215"/>
      <c r="AJ681" s="215"/>
    </row>
    <row r="682" spans="1:36" s="213" customFormat="1" x14ac:dyDescent="0.25">
      <c r="A682" s="212"/>
      <c r="C682" s="212"/>
      <c r="K682" s="212"/>
      <c r="L682" s="212"/>
      <c r="M682" s="212"/>
      <c r="R682" s="214"/>
      <c r="AB682" s="215"/>
      <c r="AG682" s="215"/>
      <c r="AJ682" s="215"/>
    </row>
    <row r="683" spans="1:36" s="213" customFormat="1" x14ac:dyDescent="0.25">
      <c r="A683" s="212"/>
      <c r="C683" s="212"/>
      <c r="K683" s="212"/>
      <c r="L683" s="212"/>
      <c r="M683" s="212"/>
      <c r="R683" s="214"/>
      <c r="AB683" s="215"/>
      <c r="AG683" s="215"/>
      <c r="AJ683" s="215"/>
    </row>
    <row r="684" spans="1:36" s="213" customFormat="1" x14ac:dyDescent="0.25">
      <c r="A684" s="212"/>
      <c r="C684" s="212"/>
      <c r="K684" s="212"/>
      <c r="L684" s="212"/>
      <c r="M684" s="212"/>
      <c r="R684" s="214"/>
      <c r="AB684" s="215"/>
      <c r="AG684" s="215"/>
      <c r="AJ684" s="215"/>
    </row>
    <row r="685" spans="1:36" s="213" customFormat="1" x14ac:dyDescent="0.25">
      <c r="A685" s="212"/>
      <c r="C685" s="212"/>
      <c r="K685" s="212"/>
      <c r="L685" s="212"/>
      <c r="M685" s="212"/>
      <c r="R685" s="214"/>
      <c r="AB685" s="215"/>
      <c r="AG685" s="215"/>
      <c r="AJ685" s="215"/>
    </row>
    <row r="686" spans="1:36" s="213" customFormat="1" x14ac:dyDescent="0.25">
      <c r="A686" s="212"/>
      <c r="C686" s="212"/>
      <c r="K686" s="212"/>
      <c r="L686" s="212"/>
      <c r="M686" s="212"/>
      <c r="R686" s="214"/>
      <c r="AB686" s="215"/>
      <c r="AG686" s="215"/>
      <c r="AJ686" s="215"/>
    </row>
    <row r="687" spans="1:36" s="213" customFormat="1" x14ac:dyDescent="0.25">
      <c r="A687" s="212"/>
      <c r="C687" s="212"/>
      <c r="K687" s="212"/>
      <c r="L687" s="212"/>
      <c r="M687" s="212"/>
      <c r="R687" s="214"/>
      <c r="AB687" s="215"/>
      <c r="AG687" s="215"/>
      <c r="AJ687" s="215"/>
    </row>
    <row r="688" spans="1:36" s="213" customFormat="1" x14ac:dyDescent="0.25">
      <c r="A688" s="212"/>
      <c r="C688" s="212"/>
      <c r="K688" s="212"/>
      <c r="L688" s="212"/>
      <c r="M688" s="212"/>
      <c r="R688" s="214"/>
      <c r="AB688" s="215"/>
      <c r="AG688" s="215"/>
      <c r="AJ688" s="215"/>
    </row>
    <row r="689" spans="1:36" s="213" customFormat="1" x14ac:dyDescent="0.25">
      <c r="A689" s="212"/>
      <c r="C689" s="212"/>
      <c r="K689" s="212"/>
      <c r="L689" s="212"/>
      <c r="M689" s="212"/>
      <c r="R689" s="214"/>
      <c r="AB689" s="215"/>
      <c r="AG689" s="215"/>
      <c r="AJ689" s="215"/>
    </row>
    <row r="690" spans="1:36" s="213" customFormat="1" x14ac:dyDescent="0.25">
      <c r="A690" s="212"/>
      <c r="C690" s="212"/>
      <c r="K690" s="212"/>
      <c r="L690" s="212"/>
      <c r="M690" s="212"/>
      <c r="R690" s="214"/>
      <c r="AB690" s="215"/>
      <c r="AG690" s="215"/>
      <c r="AJ690" s="215"/>
    </row>
    <row r="691" spans="1:36" s="213" customFormat="1" x14ac:dyDescent="0.25">
      <c r="A691" s="212"/>
      <c r="C691" s="212"/>
      <c r="K691" s="212"/>
      <c r="L691" s="212"/>
      <c r="M691" s="212"/>
      <c r="R691" s="214"/>
      <c r="AB691" s="215"/>
      <c r="AG691" s="215"/>
      <c r="AJ691" s="215"/>
    </row>
    <row r="692" spans="1:36" s="213" customFormat="1" x14ac:dyDescent="0.25">
      <c r="A692" s="212"/>
      <c r="C692" s="212"/>
      <c r="K692" s="212"/>
      <c r="L692" s="212"/>
      <c r="M692" s="212"/>
      <c r="R692" s="214"/>
      <c r="AB692" s="215"/>
      <c r="AG692" s="215"/>
      <c r="AJ692" s="215"/>
    </row>
    <row r="693" spans="1:36" s="213" customFormat="1" x14ac:dyDescent="0.25">
      <c r="A693" s="212"/>
      <c r="C693" s="212"/>
      <c r="K693" s="212"/>
      <c r="L693" s="212"/>
      <c r="M693" s="212"/>
      <c r="R693" s="214"/>
      <c r="AB693" s="215"/>
      <c r="AG693" s="215"/>
      <c r="AJ693" s="215"/>
    </row>
    <row r="694" spans="1:36" s="213" customFormat="1" x14ac:dyDescent="0.25">
      <c r="A694" s="212"/>
      <c r="C694" s="212"/>
      <c r="K694" s="212"/>
      <c r="L694" s="212"/>
      <c r="M694" s="212"/>
      <c r="R694" s="214"/>
      <c r="AB694" s="215"/>
      <c r="AG694" s="215"/>
      <c r="AJ694" s="215"/>
    </row>
    <row r="695" spans="1:36" s="213" customFormat="1" x14ac:dyDescent="0.25">
      <c r="A695" s="212"/>
      <c r="C695" s="212"/>
      <c r="K695" s="212"/>
      <c r="L695" s="212"/>
      <c r="M695" s="212"/>
      <c r="R695" s="214"/>
      <c r="AB695" s="215"/>
      <c r="AG695" s="215"/>
      <c r="AJ695" s="215"/>
    </row>
    <row r="696" spans="1:36" s="213" customFormat="1" x14ac:dyDescent="0.25">
      <c r="A696" s="212"/>
      <c r="C696" s="212"/>
      <c r="K696" s="212"/>
      <c r="L696" s="212"/>
      <c r="M696" s="212"/>
      <c r="R696" s="214"/>
      <c r="AB696" s="215"/>
      <c r="AG696" s="215"/>
      <c r="AJ696" s="215"/>
    </row>
    <row r="697" spans="1:36" s="213" customFormat="1" x14ac:dyDescent="0.25">
      <c r="A697" s="212"/>
      <c r="C697" s="212"/>
      <c r="K697" s="212"/>
      <c r="L697" s="212"/>
      <c r="M697" s="212"/>
      <c r="R697" s="214"/>
      <c r="AB697" s="215"/>
      <c r="AG697" s="215"/>
      <c r="AJ697" s="215"/>
    </row>
    <row r="698" spans="1:36" s="213" customFormat="1" x14ac:dyDescent="0.25">
      <c r="A698" s="212"/>
      <c r="C698" s="212"/>
      <c r="K698" s="212"/>
      <c r="L698" s="212"/>
      <c r="M698" s="212"/>
      <c r="R698" s="214"/>
      <c r="AB698" s="215"/>
      <c r="AG698" s="215"/>
      <c r="AJ698" s="215"/>
    </row>
    <row r="699" spans="1:36" s="213" customFormat="1" x14ac:dyDescent="0.25">
      <c r="A699" s="212"/>
      <c r="C699" s="212"/>
      <c r="K699" s="212"/>
      <c r="L699" s="212"/>
      <c r="M699" s="212"/>
      <c r="R699" s="214"/>
      <c r="AB699" s="215"/>
      <c r="AG699" s="215"/>
      <c r="AJ699" s="215"/>
    </row>
    <row r="700" spans="1:36" s="213" customFormat="1" x14ac:dyDescent="0.25">
      <c r="A700" s="212"/>
      <c r="C700" s="212"/>
      <c r="K700" s="212"/>
      <c r="L700" s="212"/>
      <c r="M700" s="212"/>
      <c r="R700" s="214"/>
      <c r="AB700" s="215"/>
      <c r="AG700" s="215"/>
      <c r="AJ700" s="215"/>
    </row>
    <row r="701" spans="1:36" s="213" customFormat="1" x14ac:dyDescent="0.25">
      <c r="A701" s="212"/>
      <c r="C701" s="212"/>
      <c r="K701" s="212"/>
      <c r="L701" s="212"/>
      <c r="M701" s="212"/>
      <c r="R701" s="214"/>
      <c r="AB701" s="215"/>
      <c r="AG701" s="215"/>
      <c r="AJ701" s="215"/>
    </row>
    <row r="702" spans="1:36" s="213" customFormat="1" x14ac:dyDescent="0.25">
      <c r="A702" s="212"/>
      <c r="C702" s="212"/>
      <c r="K702" s="212"/>
      <c r="L702" s="212"/>
      <c r="M702" s="212"/>
      <c r="R702" s="214"/>
      <c r="AB702" s="215"/>
      <c r="AG702" s="215"/>
      <c r="AJ702" s="215"/>
    </row>
    <row r="703" spans="1:36" s="213" customFormat="1" x14ac:dyDescent="0.25">
      <c r="A703" s="212"/>
      <c r="C703" s="212"/>
      <c r="K703" s="212"/>
      <c r="L703" s="212"/>
      <c r="M703" s="212"/>
      <c r="R703" s="214"/>
      <c r="AB703" s="215"/>
      <c r="AG703" s="215"/>
      <c r="AJ703" s="215"/>
    </row>
    <row r="704" spans="1:36" s="213" customFormat="1" x14ac:dyDescent="0.25">
      <c r="A704" s="212"/>
      <c r="C704" s="212"/>
      <c r="K704" s="212"/>
      <c r="L704" s="212"/>
      <c r="M704" s="212"/>
      <c r="R704" s="214"/>
      <c r="AB704" s="215"/>
      <c r="AG704" s="215"/>
      <c r="AJ704" s="215"/>
    </row>
    <row r="705" spans="1:36" s="213" customFormat="1" x14ac:dyDescent="0.25">
      <c r="A705" s="212"/>
      <c r="C705" s="212"/>
      <c r="K705" s="212"/>
      <c r="L705" s="212"/>
      <c r="M705" s="212"/>
      <c r="R705" s="214"/>
      <c r="AB705" s="215"/>
      <c r="AG705" s="215"/>
      <c r="AJ705" s="215"/>
    </row>
    <row r="706" spans="1:36" s="213" customFormat="1" x14ac:dyDescent="0.25">
      <c r="A706" s="212"/>
      <c r="C706" s="212"/>
      <c r="K706" s="212"/>
      <c r="L706" s="212"/>
      <c r="M706" s="212"/>
      <c r="R706" s="214"/>
      <c r="AB706" s="215"/>
      <c r="AG706" s="215"/>
      <c r="AJ706" s="215"/>
    </row>
    <row r="707" spans="1:36" s="213" customFormat="1" x14ac:dyDescent="0.25">
      <c r="A707" s="212"/>
      <c r="C707" s="212"/>
      <c r="K707" s="212"/>
      <c r="L707" s="212"/>
      <c r="M707" s="212"/>
      <c r="R707" s="214"/>
      <c r="AB707" s="215"/>
      <c r="AG707" s="215"/>
      <c r="AJ707" s="215"/>
    </row>
    <row r="708" spans="1:36" s="213" customFormat="1" x14ac:dyDescent="0.25">
      <c r="A708" s="212"/>
      <c r="C708" s="212"/>
      <c r="K708" s="212"/>
      <c r="L708" s="212"/>
      <c r="M708" s="212"/>
      <c r="R708" s="214"/>
      <c r="AB708" s="215"/>
      <c r="AG708" s="215"/>
      <c r="AJ708" s="215"/>
    </row>
    <row r="709" spans="1:36" s="213" customFormat="1" x14ac:dyDescent="0.25">
      <c r="A709" s="212"/>
      <c r="C709" s="212"/>
      <c r="K709" s="212"/>
      <c r="L709" s="212"/>
      <c r="M709" s="212"/>
      <c r="R709" s="214"/>
      <c r="AB709" s="215"/>
      <c r="AG709" s="215"/>
      <c r="AJ709" s="215"/>
    </row>
    <row r="710" spans="1:36" s="213" customFormat="1" x14ac:dyDescent="0.25">
      <c r="A710" s="212"/>
      <c r="C710" s="212"/>
      <c r="K710" s="212"/>
      <c r="L710" s="212"/>
      <c r="M710" s="212"/>
      <c r="R710" s="214"/>
      <c r="AB710" s="215"/>
      <c r="AG710" s="215"/>
      <c r="AJ710" s="215"/>
    </row>
    <row r="711" spans="1:36" s="213" customFormat="1" x14ac:dyDescent="0.25">
      <c r="A711" s="212"/>
      <c r="C711" s="212"/>
      <c r="K711" s="212"/>
      <c r="L711" s="212"/>
      <c r="M711" s="212"/>
      <c r="R711" s="214"/>
      <c r="AB711" s="215"/>
      <c r="AG711" s="215"/>
      <c r="AJ711" s="215"/>
    </row>
    <row r="712" spans="1:36" s="213" customFormat="1" x14ac:dyDescent="0.25">
      <c r="A712" s="212"/>
      <c r="C712" s="212"/>
      <c r="K712" s="212"/>
      <c r="L712" s="212"/>
      <c r="M712" s="212"/>
      <c r="R712" s="214"/>
      <c r="AB712" s="215"/>
      <c r="AG712" s="215"/>
      <c r="AJ712" s="215"/>
    </row>
    <row r="713" spans="1:36" s="213" customFormat="1" x14ac:dyDescent="0.25">
      <c r="A713" s="212"/>
      <c r="C713" s="212"/>
      <c r="K713" s="212"/>
      <c r="L713" s="212"/>
      <c r="M713" s="212"/>
      <c r="R713" s="214"/>
      <c r="AB713" s="215"/>
      <c r="AG713" s="215"/>
      <c r="AJ713" s="215"/>
    </row>
    <row r="714" spans="1:36" s="213" customFormat="1" x14ac:dyDescent="0.25">
      <c r="A714" s="212"/>
      <c r="C714" s="212"/>
      <c r="K714" s="212"/>
      <c r="L714" s="212"/>
      <c r="M714" s="212"/>
      <c r="R714" s="214"/>
      <c r="AB714" s="215"/>
      <c r="AG714" s="215"/>
      <c r="AJ714" s="215"/>
    </row>
    <row r="715" spans="1:36" s="213" customFormat="1" x14ac:dyDescent="0.25">
      <c r="A715" s="212"/>
      <c r="C715" s="212"/>
      <c r="K715" s="212"/>
      <c r="L715" s="212"/>
      <c r="M715" s="212"/>
      <c r="R715" s="214"/>
      <c r="AB715" s="215"/>
      <c r="AG715" s="215"/>
      <c r="AJ715" s="215"/>
    </row>
    <row r="716" spans="1:36" s="213" customFormat="1" x14ac:dyDescent="0.25">
      <c r="A716" s="212"/>
      <c r="C716" s="212"/>
      <c r="K716" s="212"/>
      <c r="L716" s="212"/>
      <c r="M716" s="212"/>
      <c r="R716" s="214"/>
      <c r="AB716" s="215"/>
      <c r="AG716" s="215"/>
      <c r="AJ716" s="215"/>
    </row>
    <row r="717" spans="1:36" s="213" customFormat="1" x14ac:dyDescent="0.25">
      <c r="A717" s="212"/>
      <c r="C717" s="212"/>
      <c r="K717" s="212"/>
      <c r="L717" s="212"/>
      <c r="M717" s="212"/>
      <c r="R717" s="214"/>
      <c r="AB717" s="215"/>
      <c r="AG717" s="215"/>
      <c r="AJ717" s="215"/>
    </row>
    <row r="718" spans="1:36" s="213" customFormat="1" x14ac:dyDescent="0.25">
      <c r="A718" s="212"/>
      <c r="C718" s="212"/>
      <c r="K718" s="212"/>
      <c r="L718" s="212"/>
      <c r="M718" s="212"/>
      <c r="R718" s="214"/>
      <c r="AB718" s="215"/>
      <c r="AG718" s="215"/>
      <c r="AJ718" s="215"/>
    </row>
    <row r="719" spans="1:36" s="213" customFormat="1" x14ac:dyDescent="0.25">
      <c r="A719" s="212"/>
      <c r="C719" s="212"/>
      <c r="K719" s="212"/>
      <c r="L719" s="212"/>
      <c r="M719" s="212"/>
      <c r="R719" s="214"/>
      <c r="AB719" s="215"/>
      <c r="AG719" s="215"/>
      <c r="AJ719" s="215"/>
    </row>
    <row r="720" spans="1:36" s="213" customFormat="1" x14ac:dyDescent="0.25">
      <c r="A720" s="212"/>
      <c r="C720" s="212"/>
      <c r="K720" s="212"/>
      <c r="L720" s="212"/>
      <c r="M720" s="212"/>
      <c r="R720" s="214"/>
      <c r="AB720" s="215"/>
      <c r="AG720" s="215"/>
      <c r="AJ720" s="215"/>
    </row>
    <row r="721" spans="1:36" s="213" customFormat="1" x14ac:dyDescent="0.25">
      <c r="A721" s="212"/>
      <c r="C721" s="212"/>
      <c r="K721" s="212"/>
      <c r="L721" s="212"/>
      <c r="M721" s="212"/>
      <c r="R721" s="214"/>
      <c r="AB721" s="215"/>
      <c r="AG721" s="215"/>
      <c r="AJ721" s="215"/>
    </row>
    <row r="722" spans="1:36" s="213" customFormat="1" x14ac:dyDescent="0.25">
      <c r="A722" s="212"/>
      <c r="C722" s="212"/>
      <c r="K722" s="212"/>
      <c r="L722" s="212"/>
      <c r="M722" s="212"/>
      <c r="R722" s="214"/>
      <c r="AB722" s="215"/>
      <c r="AG722" s="215"/>
      <c r="AJ722" s="215"/>
    </row>
    <row r="723" spans="1:36" s="213" customFormat="1" x14ac:dyDescent="0.25">
      <c r="A723" s="212"/>
      <c r="C723" s="212"/>
      <c r="K723" s="212"/>
      <c r="L723" s="212"/>
      <c r="M723" s="212"/>
      <c r="R723" s="214"/>
      <c r="AB723" s="215"/>
      <c r="AG723" s="215"/>
      <c r="AJ723" s="215"/>
    </row>
    <row r="724" spans="1:36" s="213" customFormat="1" x14ac:dyDescent="0.25">
      <c r="A724" s="212"/>
      <c r="C724" s="212"/>
      <c r="K724" s="212"/>
      <c r="L724" s="212"/>
      <c r="M724" s="212"/>
      <c r="R724" s="214"/>
      <c r="AB724" s="215"/>
      <c r="AG724" s="215"/>
      <c r="AJ724" s="215"/>
    </row>
    <row r="725" spans="1:36" s="213" customFormat="1" x14ac:dyDescent="0.25">
      <c r="A725" s="212"/>
      <c r="C725" s="212"/>
      <c r="K725" s="212"/>
      <c r="L725" s="212"/>
      <c r="M725" s="212"/>
      <c r="R725" s="214"/>
      <c r="AB725" s="215"/>
      <c r="AG725" s="215"/>
      <c r="AJ725" s="215"/>
    </row>
    <row r="726" spans="1:36" s="213" customFormat="1" x14ac:dyDescent="0.25">
      <c r="A726" s="212"/>
      <c r="C726" s="212"/>
      <c r="K726" s="212"/>
      <c r="L726" s="212"/>
      <c r="M726" s="212"/>
      <c r="R726" s="214"/>
      <c r="AB726" s="215"/>
      <c r="AG726" s="215"/>
      <c r="AJ726" s="215"/>
    </row>
    <row r="727" spans="1:36" s="213" customFormat="1" x14ac:dyDescent="0.25">
      <c r="A727" s="212"/>
      <c r="C727" s="212"/>
      <c r="K727" s="212"/>
      <c r="L727" s="212"/>
      <c r="M727" s="212"/>
      <c r="R727" s="214"/>
      <c r="AB727" s="215"/>
      <c r="AG727" s="215"/>
      <c r="AJ727" s="215"/>
    </row>
    <row r="728" spans="1:36" s="213" customFormat="1" x14ac:dyDescent="0.25">
      <c r="A728" s="212"/>
      <c r="C728" s="212"/>
      <c r="K728" s="212"/>
      <c r="L728" s="212"/>
      <c r="M728" s="212"/>
      <c r="R728" s="214"/>
      <c r="AB728" s="215"/>
      <c r="AG728" s="215"/>
      <c r="AJ728" s="215"/>
    </row>
    <row r="729" spans="1:36" s="213" customFormat="1" x14ac:dyDescent="0.25">
      <c r="A729" s="212"/>
      <c r="C729" s="212"/>
      <c r="K729" s="212"/>
      <c r="L729" s="212"/>
      <c r="M729" s="212"/>
      <c r="R729" s="214"/>
      <c r="AB729" s="215"/>
      <c r="AG729" s="215"/>
      <c r="AJ729" s="215"/>
    </row>
    <row r="730" spans="1:36" s="213" customFormat="1" x14ac:dyDescent="0.25">
      <c r="A730" s="212"/>
      <c r="C730" s="212"/>
      <c r="K730" s="212"/>
      <c r="L730" s="212"/>
      <c r="M730" s="212"/>
      <c r="R730" s="214"/>
      <c r="AB730" s="215"/>
      <c r="AG730" s="215"/>
      <c r="AJ730" s="215"/>
    </row>
    <row r="731" spans="1:36" s="213" customFormat="1" x14ac:dyDescent="0.25">
      <c r="A731" s="212"/>
      <c r="C731" s="212"/>
      <c r="K731" s="212"/>
      <c r="L731" s="212"/>
      <c r="M731" s="212"/>
      <c r="R731" s="214"/>
      <c r="AB731" s="215"/>
      <c r="AG731" s="215"/>
      <c r="AJ731" s="215"/>
    </row>
    <row r="732" spans="1:36" s="213" customFormat="1" x14ac:dyDescent="0.25">
      <c r="A732" s="212"/>
      <c r="C732" s="212"/>
      <c r="K732" s="212"/>
      <c r="L732" s="212"/>
      <c r="M732" s="212"/>
      <c r="R732" s="214"/>
      <c r="AB732" s="215"/>
      <c r="AG732" s="215"/>
      <c r="AJ732" s="215"/>
    </row>
    <row r="733" spans="1:36" s="213" customFormat="1" x14ac:dyDescent="0.25">
      <c r="A733" s="212"/>
      <c r="C733" s="212"/>
      <c r="K733" s="212"/>
      <c r="L733" s="212"/>
      <c r="M733" s="212"/>
      <c r="R733" s="214"/>
      <c r="AB733" s="215"/>
      <c r="AG733" s="215"/>
      <c r="AJ733" s="215"/>
    </row>
    <row r="734" spans="1:36" s="213" customFormat="1" x14ac:dyDescent="0.25">
      <c r="A734" s="212"/>
      <c r="C734" s="212"/>
      <c r="K734" s="212"/>
      <c r="L734" s="212"/>
      <c r="M734" s="212"/>
      <c r="R734" s="214"/>
      <c r="AB734" s="215"/>
      <c r="AG734" s="215"/>
      <c r="AJ734" s="215"/>
    </row>
    <row r="735" spans="1:36" s="213" customFormat="1" x14ac:dyDescent="0.25">
      <c r="A735" s="212"/>
      <c r="C735" s="212"/>
      <c r="K735" s="212"/>
      <c r="L735" s="212"/>
      <c r="M735" s="212"/>
      <c r="R735" s="214"/>
      <c r="AB735" s="215"/>
      <c r="AG735" s="215"/>
      <c r="AJ735" s="215"/>
    </row>
    <row r="736" spans="1:36" s="213" customFormat="1" x14ac:dyDescent="0.25">
      <c r="A736" s="212"/>
      <c r="C736" s="212"/>
      <c r="K736" s="212"/>
      <c r="L736" s="212"/>
      <c r="M736" s="212"/>
      <c r="R736" s="214"/>
      <c r="AB736" s="215"/>
      <c r="AG736" s="215"/>
      <c r="AJ736" s="215"/>
    </row>
    <row r="737" spans="1:36" s="213" customFormat="1" x14ac:dyDescent="0.25">
      <c r="A737" s="212"/>
      <c r="C737" s="212"/>
      <c r="K737" s="212"/>
      <c r="L737" s="212"/>
      <c r="M737" s="212"/>
      <c r="R737" s="214"/>
      <c r="AB737" s="215"/>
      <c r="AG737" s="215"/>
      <c r="AJ737" s="215"/>
    </row>
    <row r="738" spans="1:36" s="213" customFormat="1" x14ac:dyDescent="0.25">
      <c r="A738" s="212"/>
      <c r="C738" s="212"/>
      <c r="K738" s="212"/>
      <c r="L738" s="212"/>
      <c r="M738" s="212"/>
      <c r="R738" s="214"/>
      <c r="AB738" s="215"/>
      <c r="AG738" s="215"/>
      <c r="AJ738" s="215"/>
    </row>
    <row r="739" spans="1:36" s="213" customFormat="1" x14ac:dyDescent="0.25">
      <c r="A739" s="212"/>
      <c r="C739" s="212"/>
      <c r="K739" s="212"/>
      <c r="L739" s="212"/>
      <c r="M739" s="212"/>
      <c r="R739" s="214"/>
      <c r="AB739" s="215"/>
      <c r="AG739" s="215"/>
      <c r="AJ739" s="215"/>
    </row>
    <row r="740" spans="1:36" s="213" customFormat="1" x14ac:dyDescent="0.25">
      <c r="A740" s="212"/>
      <c r="C740" s="212"/>
      <c r="K740" s="212"/>
      <c r="L740" s="212"/>
      <c r="M740" s="212"/>
      <c r="R740" s="214"/>
      <c r="AB740" s="215"/>
      <c r="AG740" s="215"/>
      <c r="AJ740" s="215"/>
    </row>
    <row r="741" spans="1:36" s="213" customFormat="1" x14ac:dyDescent="0.25">
      <c r="A741" s="212"/>
      <c r="C741" s="212"/>
      <c r="K741" s="212"/>
      <c r="L741" s="212"/>
      <c r="M741" s="212"/>
      <c r="R741" s="214"/>
      <c r="AB741" s="215"/>
      <c r="AG741" s="215"/>
      <c r="AJ741" s="215"/>
    </row>
    <row r="742" spans="1:36" s="213" customFormat="1" x14ac:dyDescent="0.25">
      <c r="A742" s="212"/>
      <c r="C742" s="212"/>
      <c r="K742" s="212"/>
      <c r="L742" s="212"/>
      <c r="M742" s="212"/>
      <c r="R742" s="214"/>
      <c r="AB742" s="215"/>
      <c r="AG742" s="215"/>
      <c r="AJ742" s="215"/>
    </row>
    <row r="743" spans="1:36" s="213" customFormat="1" x14ac:dyDescent="0.25">
      <c r="A743" s="212"/>
      <c r="C743" s="212"/>
      <c r="K743" s="212"/>
      <c r="L743" s="212"/>
      <c r="M743" s="212"/>
      <c r="R743" s="214"/>
      <c r="AB743" s="215"/>
      <c r="AG743" s="215"/>
      <c r="AJ743" s="215"/>
    </row>
    <row r="744" spans="1:36" s="213" customFormat="1" x14ac:dyDescent="0.25">
      <c r="A744" s="212"/>
      <c r="C744" s="212"/>
      <c r="K744" s="212"/>
      <c r="L744" s="212"/>
      <c r="M744" s="212"/>
      <c r="R744" s="214"/>
      <c r="AB744" s="215"/>
      <c r="AG744" s="215"/>
      <c r="AJ744" s="215"/>
    </row>
    <row r="745" spans="1:36" s="213" customFormat="1" x14ac:dyDescent="0.25">
      <c r="A745" s="212"/>
      <c r="C745" s="212"/>
      <c r="K745" s="212"/>
      <c r="L745" s="212"/>
      <c r="M745" s="212"/>
      <c r="R745" s="214"/>
      <c r="AB745" s="215"/>
      <c r="AG745" s="215"/>
      <c r="AJ745" s="215"/>
    </row>
    <row r="746" spans="1:36" s="213" customFormat="1" x14ac:dyDescent="0.25">
      <c r="A746" s="212"/>
      <c r="C746" s="212"/>
      <c r="K746" s="212"/>
      <c r="L746" s="212"/>
      <c r="M746" s="212"/>
      <c r="R746" s="214"/>
      <c r="AB746" s="215"/>
      <c r="AG746" s="215"/>
      <c r="AJ746" s="215"/>
    </row>
    <row r="747" spans="1:36" s="213" customFormat="1" x14ac:dyDescent="0.25">
      <c r="A747" s="212"/>
      <c r="C747" s="212"/>
      <c r="K747" s="212"/>
      <c r="L747" s="212"/>
      <c r="M747" s="212"/>
      <c r="R747" s="214"/>
      <c r="AB747" s="215"/>
      <c r="AG747" s="215"/>
      <c r="AJ747" s="215"/>
    </row>
    <row r="748" spans="1:36" s="213" customFormat="1" x14ac:dyDescent="0.25">
      <c r="A748" s="212"/>
      <c r="C748" s="212"/>
      <c r="K748" s="212"/>
      <c r="L748" s="212"/>
      <c r="M748" s="212"/>
      <c r="R748" s="214"/>
      <c r="AB748" s="215"/>
      <c r="AG748" s="215"/>
      <c r="AJ748" s="215"/>
    </row>
    <row r="749" spans="1:36" s="213" customFormat="1" x14ac:dyDescent="0.25">
      <c r="A749" s="212"/>
      <c r="C749" s="212"/>
      <c r="K749" s="212"/>
      <c r="L749" s="212"/>
      <c r="M749" s="212"/>
      <c r="R749" s="214"/>
      <c r="AB749" s="215"/>
      <c r="AG749" s="215"/>
      <c r="AJ749" s="215"/>
    </row>
    <row r="750" spans="1:36" s="213" customFormat="1" x14ac:dyDescent="0.25">
      <c r="A750" s="212"/>
      <c r="C750" s="212"/>
      <c r="K750" s="212"/>
      <c r="L750" s="212"/>
      <c r="M750" s="212"/>
      <c r="R750" s="214"/>
      <c r="AB750" s="215"/>
      <c r="AG750" s="215"/>
      <c r="AJ750" s="215"/>
    </row>
    <row r="751" spans="1:36" s="213" customFormat="1" x14ac:dyDescent="0.25">
      <c r="A751" s="212"/>
      <c r="C751" s="212"/>
      <c r="K751" s="212"/>
      <c r="L751" s="212"/>
      <c r="M751" s="212"/>
      <c r="R751" s="214"/>
      <c r="AB751" s="215"/>
      <c r="AG751" s="215"/>
      <c r="AJ751" s="215"/>
    </row>
    <row r="752" spans="1:36" s="213" customFormat="1" x14ac:dyDescent="0.25">
      <c r="A752" s="212"/>
      <c r="C752" s="212"/>
      <c r="K752" s="212"/>
      <c r="L752" s="212"/>
      <c r="M752" s="212"/>
      <c r="R752" s="214"/>
      <c r="AB752" s="215"/>
      <c r="AG752" s="215"/>
      <c r="AJ752" s="215"/>
    </row>
    <row r="753" spans="1:36" s="213" customFormat="1" x14ac:dyDescent="0.25">
      <c r="A753" s="212"/>
      <c r="C753" s="212"/>
      <c r="K753" s="212"/>
      <c r="L753" s="212"/>
      <c r="M753" s="212"/>
      <c r="R753" s="214"/>
      <c r="AB753" s="215"/>
      <c r="AG753" s="215"/>
      <c r="AJ753" s="215"/>
    </row>
    <row r="754" spans="1:36" s="213" customFormat="1" x14ac:dyDescent="0.25">
      <c r="A754" s="212"/>
      <c r="C754" s="212"/>
      <c r="K754" s="212"/>
      <c r="L754" s="212"/>
      <c r="M754" s="212"/>
      <c r="R754" s="214"/>
      <c r="AB754" s="215"/>
      <c r="AG754" s="215"/>
      <c r="AJ754" s="215"/>
    </row>
    <row r="755" spans="1:36" s="213" customFormat="1" x14ac:dyDescent="0.25">
      <c r="A755" s="212"/>
      <c r="C755" s="212"/>
      <c r="K755" s="212"/>
      <c r="L755" s="212"/>
      <c r="M755" s="212"/>
      <c r="R755" s="214"/>
      <c r="AB755" s="215"/>
      <c r="AG755" s="215"/>
      <c r="AJ755" s="215"/>
    </row>
    <row r="756" spans="1:36" s="213" customFormat="1" x14ac:dyDescent="0.25">
      <c r="A756" s="212"/>
      <c r="C756" s="212"/>
      <c r="K756" s="212"/>
      <c r="L756" s="212"/>
      <c r="M756" s="212"/>
      <c r="R756" s="214"/>
      <c r="AB756" s="215"/>
      <c r="AG756" s="215"/>
      <c r="AJ756" s="215"/>
    </row>
    <row r="757" spans="1:36" s="213" customFormat="1" x14ac:dyDescent="0.25">
      <c r="A757" s="212"/>
      <c r="C757" s="212"/>
      <c r="K757" s="212"/>
      <c r="L757" s="212"/>
      <c r="M757" s="212"/>
      <c r="R757" s="214"/>
      <c r="AB757" s="215"/>
      <c r="AG757" s="215"/>
      <c r="AJ757" s="215"/>
    </row>
    <row r="758" spans="1:36" s="213" customFormat="1" x14ac:dyDescent="0.25">
      <c r="A758" s="212"/>
      <c r="C758" s="212"/>
      <c r="K758" s="212"/>
      <c r="L758" s="212"/>
      <c r="M758" s="212"/>
      <c r="R758" s="214"/>
      <c r="AB758" s="215"/>
      <c r="AG758" s="215"/>
      <c r="AJ758" s="215"/>
    </row>
    <row r="759" spans="1:36" s="213" customFormat="1" x14ac:dyDescent="0.25">
      <c r="A759" s="212"/>
      <c r="C759" s="212"/>
      <c r="K759" s="212"/>
      <c r="L759" s="212"/>
      <c r="M759" s="212"/>
      <c r="R759" s="214"/>
      <c r="AB759" s="215"/>
      <c r="AG759" s="215"/>
      <c r="AJ759" s="215"/>
    </row>
    <row r="760" spans="1:36" s="213" customFormat="1" x14ac:dyDescent="0.25">
      <c r="A760" s="212"/>
      <c r="C760" s="212"/>
      <c r="K760" s="212"/>
      <c r="L760" s="212"/>
      <c r="M760" s="212"/>
      <c r="R760" s="214"/>
      <c r="AB760" s="215"/>
      <c r="AG760" s="215"/>
      <c r="AJ760" s="215"/>
    </row>
    <row r="761" spans="1:36" s="213" customFormat="1" x14ac:dyDescent="0.25">
      <c r="A761" s="212"/>
      <c r="C761" s="212"/>
      <c r="K761" s="212"/>
      <c r="L761" s="212"/>
      <c r="M761" s="212"/>
      <c r="R761" s="214"/>
      <c r="AB761" s="215"/>
      <c r="AG761" s="215"/>
      <c r="AJ761" s="215"/>
    </row>
    <row r="762" spans="1:36" s="213" customFormat="1" x14ac:dyDescent="0.25">
      <c r="A762" s="212"/>
      <c r="C762" s="212"/>
      <c r="K762" s="212"/>
      <c r="L762" s="212"/>
      <c r="M762" s="212"/>
      <c r="R762" s="214"/>
      <c r="AB762" s="215"/>
      <c r="AG762" s="215"/>
      <c r="AJ762" s="215"/>
    </row>
    <row r="763" spans="1:36" s="213" customFormat="1" x14ac:dyDescent="0.25">
      <c r="A763" s="212"/>
      <c r="C763" s="212"/>
      <c r="K763" s="212"/>
      <c r="L763" s="212"/>
      <c r="M763" s="212"/>
      <c r="R763" s="214"/>
      <c r="AB763" s="215"/>
      <c r="AG763" s="215"/>
      <c r="AJ763" s="215"/>
    </row>
    <row r="764" spans="1:36" s="213" customFormat="1" x14ac:dyDescent="0.25">
      <c r="A764" s="212"/>
      <c r="C764" s="212"/>
      <c r="K764" s="212"/>
      <c r="L764" s="212"/>
      <c r="M764" s="212"/>
      <c r="R764" s="214"/>
      <c r="AB764" s="215"/>
      <c r="AG764" s="215"/>
      <c r="AJ764" s="215"/>
    </row>
    <row r="765" spans="1:36" s="213" customFormat="1" x14ac:dyDescent="0.25">
      <c r="A765" s="212"/>
      <c r="C765" s="212"/>
      <c r="K765" s="212"/>
      <c r="L765" s="212"/>
      <c r="M765" s="212"/>
      <c r="R765" s="214"/>
      <c r="AB765" s="215"/>
      <c r="AG765" s="215"/>
      <c r="AJ765" s="215"/>
    </row>
    <row r="766" spans="1:36" s="213" customFormat="1" x14ac:dyDescent="0.25">
      <c r="A766" s="212"/>
      <c r="C766" s="212"/>
      <c r="K766" s="212"/>
      <c r="L766" s="212"/>
      <c r="M766" s="212"/>
      <c r="R766" s="214"/>
      <c r="AB766" s="215"/>
      <c r="AG766" s="215"/>
      <c r="AJ766" s="215"/>
    </row>
    <row r="767" spans="1:36" s="213" customFormat="1" x14ac:dyDescent="0.25">
      <c r="A767" s="212"/>
      <c r="C767" s="212"/>
      <c r="K767" s="212"/>
      <c r="L767" s="212"/>
      <c r="M767" s="212"/>
      <c r="R767" s="214"/>
      <c r="AB767" s="215"/>
      <c r="AG767" s="215"/>
      <c r="AJ767" s="215"/>
    </row>
    <row r="768" spans="1:36" s="213" customFormat="1" x14ac:dyDescent="0.25">
      <c r="A768" s="212"/>
      <c r="C768" s="212"/>
      <c r="K768" s="212"/>
      <c r="L768" s="212"/>
      <c r="M768" s="212"/>
      <c r="R768" s="214"/>
      <c r="AB768" s="215"/>
      <c r="AG768" s="215"/>
      <c r="AJ768" s="215"/>
    </row>
    <row r="769" spans="1:36" s="213" customFormat="1" x14ac:dyDescent="0.25">
      <c r="A769" s="212"/>
      <c r="C769" s="212"/>
      <c r="K769" s="212"/>
      <c r="L769" s="212"/>
      <c r="M769" s="212"/>
      <c r="R769" s="214"/>
      <c r="AB769" s="215"/>
      <c r="AG769" s="215"/>
      <c r="AJ769" s="215"/>
    </row>
    <row r="770" spans="1:36" s="213" customFormat="1" x14ac:dyDescent="0.25">
      <c r="A770" s="212"/>
      <c r="C770" s="212"/>
      <c r="K770" s="212"/>
      <c r="L770" s="212"/>
      <c r="M770" s="212"/>
      <c r="R770" s="214"/>
      <c r="AB770" s="215"/>
      <c r="AG770" s="215"/>
      <c r="AJ770" s="215"/>
    </row>
    <row r="771" spans="1:36" s="213" customFormat="1" x14ac:dyDescent="0.25">
      <c r="A771" s="212"/>
      <c r="C771" s="212"/>
      <c r="K771" s="212"/>
      <c r="L771" s="212"/>
      <c r="M771" s="212"/>
      <c r="R771" s="214"/>
      <c r="AB771" s="215"/>
      <c r="AG771" s="215"/>
      <c r="AJ771" s="215"/>
    </row>
    <row r="772" spans="1:36" s="213" customFormat="1" x14ac:dyDescent="0.25">
      <c r="A772" s="212"/>
      <c r="C772" s="212"/>
      <c r="K772" s="212"/>
      <c r="L772" s="212"/>
      <c r="M772" s="212"/>
      <c r="R772" s="214"/>
      <c r="AB772" s="215"/>
      <c r="AG772" s="215"/>
      <c r="AJ772" s="215"/>
    </row>
    <row r="773" spans="1:36" s="213" customFormat="1" x14ac:dyDescent="0.25">
      <c r="A773" s="212"/>
      <c r="C773" s="212"/>
      <c r="K773" s="212"/>
      <c r="L773" s="212"/>
      <c r="M773" s="212"/>
      <c r="R773" s="214"/>
      <c r="AB773" s="215"/>
      <c r="AG773" s="215"/>
      <c r="AJ773" s="215"/>
    </row>
    <row r="774" spans="1:36" s="213" customFormat="1" x14ac:dyDescent="0.25">
      <c r="A774" s="212"/>
      <c r="C774" s="212"/>
      <c r="K774" s="212"/>
      <c r="L774" s="212"/>
      <c r="M774" s="212"/>
      <c r="R774" s="214"/>
      <c r="AB774" s="215"/>
      <c r="AG774" s="215"/>
      <c r="AJ774" s="215"/>
    </row>
    <row r="775" spans="1:36" s="213" customFormat="1" x14ac:dyDescent="0.25">
      <c r="A775" s="212"/>
      <c r="C775" s="212"/>
      <c r="K775" s="212"/>
      <c r="L775" s="212"/>
      <c r="M775" s="212"/>
      <c r="R775" s="214"/>
      <c r="AB775" s="215"/>
      <c r="AG775" s="215"/>
      <c r="AJ775" s="215"/>
    </row>
    <row r="776" spans="1:36" s="213" customFormat="1" x14ac:dyDescent="0.25">
      <c r="A776" s="212"/>
      <c r="C776" s="212"/>
      <c r="K776" s="212"/>
      <c r="L776" s="212"/>
      <c r="M776" s="212"/>
      <c r="R776" s="214"/>
      <c r="AB776" s="215"/>
      <c r="AG776" s="215"/>
      <c r="AJ776" s="215"/>
    </row>
    <row r="777" spans="1:36" s="213" customFormat="1" x14ac:dyDescent="0.25">
      <c r="A777" s="212"/>
      <c r="C777" s="212"/>
      <c r="K777" s="212"/>
      <c r="L777" s="212"/>
      <c r="M777" s="212"/>
      <c r="R777" s="214"/>
      <c r="AB777" s="215"/>
      <c r="AG777" s="215"/>
      <c r="AJ777" s="215"/>
    </row>
    <row r="778" spans="1:36" s="213" customFormat="1" x14ac:dyDescent="0.25">
      <c r="A778" s="212"/>
      <c r="C778" s="212"/>
      <c r="K778" s="212"/>
      <c r="L778" s="212"/>
      <c r="M778" s="212"/>
      <c r="R778" s="214"/>
      <c r="AB778" s="215"/>
      <c r="AG778" s="215"/>
      <c r="AJ778" s="215"/>
    </row>
    <row r="779" spans="1:36" s="213" customFormat="1" x14ac:dyDescent="0.25">
      <c r="A779" s="212"/>
      <c r="C779" s="212"/>
      <c r="K779" s="212"/>
      <c r="L779" s="212"/>
      <c r="M779" s="212"/>
      <c r="R779" s="214"/>
      <c r="AB779" s="215"/>
      <c r="AG779" s="215"/>
      <c r="AJ779" s="215"/>
    </row>
    <row r="780" spans="1:36" s="213" customFormat="1" x14ac:dyDescent="0.25">
      <c r="A780" s="212"/>
      <c r="C780" s="212"/>
      <c r="K780" s="212"/>
      <c r="L780" s="212"/>
      <c r="M780" s="212"/>
      <c r="R780" s="214"/>
      <c r="AB780" s="215"/>
      <c r="AG780" s="215"/>
      <c r="AJ780" s="215"/>
    </row>
    <row r="781" spans="1:36" s="213" customFormat="1" x14ac:dyDescent="0.25">
      <c r="A781" s="212"/>
      <c r="C781" s="212"/>
      <c r="K781" s="212"/>
      <c r="L781" s="212"/>
      <c r="M781" s="212"/>
      <c r="R781" s="214"/>
      <c r="AB781" s="215"/>
      <c r="AG781" s="215"/>
      <c r="AJ781" s="215"/>
    </row>
    <row r="782" spans="1:36" s="213" customFormat="1" x14ac:dyDescent="0.25">
      <c r="A782" s="212"/>
      <c r="C782" s="212"/>
      <c r="K782" s="212"/>
      <c r="L782" s="212"/>
      <c r="M782" s="212"/>
      <c r="R782" s="214"/>
      <c r="AB782" s="215"/>
      <c r="AG782" s="215"/>
      <c r="AJ782" s="215"/>
    </row>
    <row r="783" spans="1:36" s="213" customFormat="1" x14ac:dyDescent="0.25">
      <c r="A783" s="212"/>
      <c r="C783" s="212"/>
      <c r="K783" s="212"/>
      <c r="L783" s="212"/>
      <c r="M783" s="212"/>
      <c r="R783" s="214"/>
      <c r="AB783" s="215"/>
      <c r="AG783" s="215"/>
      <c r="AJ783" s="215"/>
    </row>
    <row r="784" spans="1:36" s="213" customFormat="1" x14ac:dyDescent="0.25">
      <c r="A784" s="212"/>
      <c r="C784" s="212"/>
      <c r="K784" s="212"/>
      <c r="L784" s="212"/>
      <c r="M784" s="212"/>
      <c r="R784" s="214"/>
      <c r="AB784" s="215"/>
      <c r="AG784" s="215"/>
      <c r="AJ784" s="215"/>
    </row>
    <row r="785" spans="1:36" s="213" customFormat="1" x14ac:dyDescent="0.25">
      <c r="A785" s="212"/>
      <c r="C785" s="212"/>
      <c r="K785" s="212"/>
      <c r="L785" s="212"/>
      <c r="M785" s="212"/>
      <c r="R785" s="214"/>
      <c r="AB785" s="215"/>
      <c r="AG785" s="215"/>
      <c r="AJ785" s="215"/>
    </row>
    <row r="786" spans="1:36" s="213" customFormat="1" x14ac:dyDescent="0.25">
      <c r="A786" s="212"/>
      <c r="C786" s="212"/>
      <c r="K786" s="212"/>
      <c r="L786" s="212"/>
      <c r="M786" s="212"/>
      <c r="R786" s="214"/>
      <c r="AB786" s="215"/>
      <c r="AG786" s="215"/>
      <c r="AJ786" s="215"/>
    </row>
    <row r="787" spans="1:36" s="213" customFormat="1" x14ac:dyDescent="0.25">
      <c r="A787" s="212"/>
      <c r="C787" s="212"/>
      <c r="K787" s="212"/>
      <c r="L787" s="212"/>
      <c r="M787" s="212"/>
      <c r="R787" s="214"/>
      <c r="AB787" s="215"/>
      <c r="AG787" s="215"/>
      <c r="AJ787" s="215"/>
    </row>
    <row r="788" spans="1:36" s="213" customFormat="1" x14ac:dyDescent="0.25">
      <c r="A788" s="212"/>
      <c r="C788" s="212"/>
      <c r="K788" s="212"/>
      <c r="L788" s="212"/>
      <c r="M788" s="212"/>
      <c r="R788" s="214"/>
      <c r="AB788" s="215"/>
      <c r="AG788" s="215"/>
      <c r="AJ788" s="215"/>
    </row>
    <row r="789" spans="1:36" s="213" customFormat="1" x14ac:dyDescent="0.25">
      <c r="A789" s="212"/>
      <c r="C789" s="212"/>
      <c r="K789" s="212"/>
      <c r="L789" s="212"/>
      <c r="M789" s="212"/>
      <c r="R789" s="214"/>
      <c r="AB789" s="215"/>
      <c r="AG789" s="215"/>
      <c r="AJ789" s="215"/>
    </row>
    <row r="790" spans="1:36" s="213" customFormat="1" x14ac:dyDescent="0.25">
      <c r="A790" s="212"/>
      <c r="C790" s="212"/>
      <c r="K790" s="212"/>
      <c r="L790" s="212"/>
      <c r="M790" s="212"/>
      <c r="R790" s="214"/>
      <c r="AB790" s="215"/>
      <c r="AG790" s="215"/>
      <c r="AJ790" s="215"/>
    </row>
    <row r="791" spans="1:36" s="213" customFormat="1" x14ac:dyDescent="0.25">
      <c r="A791" s="212"/>
      <c r="C791" s="212"/>
      <c r="K791" s="212"/>
      <c r="L791" s="212"/>
      <c r="M791" s="212"/>
      <c r="R791" s="214"/>
      <c r="AB791" s="215"/>
      <c r="AG791" s="215"/>
      <c r="AJ791" s="215"/>
    </row>
    <row r="792" spans="1:36" s="213" customFormat="1" x14ac:dyDescent="0.25">
      <c r="A792" s="212"/>
      <c r="C792" s="212"/>
      <c r="K792" s="212"/>
      <c r="L792" s="212"/>
      <c r="M792" s="212"/>
      <c r="R792" s="214"/>
      <c r="AB792" s="215"/>
      <c r="AG792" s="215"/>
      <c r="AJ792" s="215"/>
    </row>
    <row r="793" spans="1:36" s="213" customFormat="1" x14ac:dyDescent="0.25">
      <c r="A793" s="212"/>
      <c r="C793" s="212"/>
      <c r="K793" s="212"/>
      <c r="L793" s="212"/>
      <c r="M793" s="212"/>
      <c r="R793" s="214"/>
      <c r="AB793" s="215"/>
      <c r="AG793" s="215"/>
      <c r="AJ793" s="215"/>
    </row>
    <row r="794" spans="1:36" s="213" customFormat="1" x14ac:dyDescent="0.25">
      <c r="A794" s="212"/>
      <c r="C794" s="212"/>
      <c r="K794" s="212"/>
      <c r="L794" s="212"/>
      <c r="M794" s="212"/>
      <c r="R794" s="214"/>
      <c r="AB794" s="215"/>
      <c r="AG794" s="215"/>
      <c r="AJ794" s="215"/>
    </row>
    <row r="795" spans="1:36" s="213" customFormat="1" x14ac:dyDescent="0.25">
      <c r="A795" s="212"/>
      <c r="C795" s="212"/>
      <c r="K795" s="212"/>
      <c r="L795" s="212"/>
      <c r="M795" s="212"/>
      <c r="R795" s="214"/>
      <c r="AB795" s="215"/>
      <c r="AG795" s="215"/>
      <c r="AJ795" s="215"/>
    </row>
    <row r="796" spans="1:36" s="213" customFormat="1" x14ac:dyDescent="0.25">
      <c r="A796" s="212"/>
      <c r="C796" s="212"/>
      <c r="K796" s="212"/>
      <c r="L796" s="212"/>
      <c r="M796" s="212"/>
      <c r="R796" s="214"/>
      <c r="AB796" s="215"/>
      <c r="AG796" s="215"/>
      <c r="AJ796" s="215"/>
    </row>
    <row r="797" spans="1:36" s="213" customFormat="1" x14ac:dyDescent="0.25">
      <c r="A797" s="212"/>
      <c r="C797" s="212"/>
      <c r="K797" s="212"/>
      <c r="L797" s="212"/>
      <c r="M797" s="212"/>
      <c r="R797" s="214"/>
      <c r="AB797" s="215"/>
      <c r="AG797" s="215"/>
      <c r="AJ797" s="215"/>
    </row>
    <row r="798" spans="1:36" s="213" customFormat="1" x14ac:dyDescent="0.25">
      <c r="A798" s="212"/>
      <c r="C798" s="212"/>
      <c r="K798" s="212"/>
      <c r="L798" s="212"/>
      <c r="M798" s="212"/>
      <c r="R798" s="214"/>
      <c r="AB798" s="215"/>
      <c r="AG798" s="215"/>
      <c r="AJ798" s="215"/>
    </row>
    <row r="799" spans="1:36" s="213" customFormat="1" x14ac:dyDescent="0.25">
      <c r="A799" s="212"/>
      <c r="C799" s="212"/>
      <c r="K799" s="212"/>
      <c r="L799" s="212"/>
      <c r="M799" s="212"/>
      <c r="R799" s="214"/>
      <c r="AB799" s="215"/>
      <c r="AG799" s="215"/>
      <c r="AJ799" s="215"/>
    </row>
    <row r="800" spans="1:36" s="213" customFormat="1" x14ac:dyDescent="0.25">
      <c r="A800" s="212"/>
      <c r="C800" s="212"/>
      <c r="K800" s="212"/>
      <c r="L800" s="212"/>
      <c r="M800" s="212"/>
      <c r="R800" s="214"/>
      <c r="AB800" s="215"/>
      <c r="AG800" s="215"/>
      <c r="AJ800" s="215"/>
    </row>
    <row r="801" spans="1:36" s="213" customFormat="1" x14ac:dyDescent="0.25">
      <c r="A801" s="212"/>
      <c r="C801" s="212"/>
      <c r="K801" s="212"/>
      <c r="L801" s="212"/>
      <c r="M801" s="212"/>
      <c r="R801" s="214"/>
      <c r="AB801" s="215"/>
      <c r="AG801" s="215"/>
      <c r="AJ801" s="215"/>
    </row>
    <row r="802" spans="1:36" s="213" customFormat="1" x14ac:dyDescent="0.25">
      <c r="A802" s="212"/>
      <c r="C802" s="212"/>
      <c r="K802" s="212"/>
      <c r="L802" s="212"/>
      <c r="M802" s="212"/>
      <c r="R802" s="214"/>
      <c r="AB802" s="215"/>
      <c r="AG802" s="215"/>
      <c r="AJ802" s="215"/>
    </row>
    <row r="803" spans="1:36" s="213" customFormat="1" x14ac:dyDescent="0.25">
      <c r="A803" s="212"/>
      <c r="C803" s="212"/>
      <c r="K803" s="212"/>
      <c r="L803" s="212"/>
      <c r="M803" s="212"/>
      <c r="R803" s="214"/>
      <c r="AB803" s="215"/>
      <c r="AG803" s="215"/>
      <c r="AJ803" s="215"/>
    </row>
    <row r="804" spans="1:36" s="213" customFormat="1" x14ac:dyDescent="0.25">
      <c r="A804" s="212"/>
      <c r="C804" s="212"/>
      <c r="K804" s="212"/>
      <c r="L804" s="212"/>
      <c r="M804" s="212"/>
      <c r="R804" s="214"/>
      <c r="AB804" s="215"/>
      <c r="AG804" s="215"/>
      <c r="AJ804" s="215"/>
    </row>
    <row r="805" spans="1:36" s="213" customFormat="1" x14ac:dyDescent="0.25">
      <c r="A805" s="212"/>
      <c r="C805" s="212"/>
      <c r="K805" s="212"/>
      <c r="L805" s="212"/>
      <c r="M805" s="212"/>
      <c r="R805" s="214"/>
      <c r="AB805" s="215"/>
      <c r="AG805" s="215"/>
      <c r="AJ805" s="215"/>
    </row>
    <row r="806" spans="1:36" s="213" customFormat="1" x14ac:dyDescent="0.25">
      <c r="A806" s="212"/>
      <c r="C806" s="212"/>
      <c r="K806" s="212"/>
      <c r="L806" s="212"/>
      <c r="M806" s="212"/>
      <c r="R806" s="214"/>
      <c r="AB806" s="215"/>
      <c r="AG806" s="215"/>
      <c r="AJ806" s="215"/>
    </row>
    <row r="807" spans="1:36" s="213" customFormat="1" x14ac:dyDescent="0.25">
      <c r="A807" s="212"/>
      <c r="C807" s="212"/>
      <c r="K807" s="212"/>
      <c r="L807" s="212"/>
      <c r="M807" s="212"/>
      <c r="R807" s="214"/>
      <c r="AB807" s="215"/>
      <c r="AG807" s="215"/>
      <c r="AJ807" s="215"/>
    </row>
    <row r="808" spans="1:36" s="213" customFormat="1" x14ac:dyDescent="0.25">
      <c r="A808" s="212"/>
      <c r="C808" s="212"/>
      <c r="K808" s="212"/>
      <c r="L808" s="212"/>
      <c r="M808" s="212"/>
      <c r="R808" s="214"/>
      <c r="AB808" s="215"/>
      <c r="AG808" s="215"/>
      <c r="AJ808" s="215"/>
    </row>
    <row r="809" spans="1:36" s="213" customFormat="1" x14ac:dyDescent="0.25">
      <c r="A809" s="212"/>
      <c r="C809" s="212"/>
      <c r="K809" s="212"/>
      <c r="L809" s="212"/>
      <c r="M809" s="212"/>
      <c r="R809" s="214"/>
      <c r="AB809" s="215"/>
      <c r="AG809" s="215"/>
      <c r="AJ809" s="215"/>
    </row>
    <row r="810" spans="1:36" s="213" customFormat="1" x14ac:dyDescent="0.25">
      <c r="A810" s="212"/>
      <c r="C810" s="212"/>
      <c r="K810" s="212"/>
      <c r="L810" s="212"/>
      <c r="M810" s="212"/>
      <c r="R810" s="214"/>
      <c r="AB810" s="215"/>
      <c r="AG810" s="215"/>
      <c r="AJ810" s="215"/>
    </row>
    <row r="811" spans="1:36" s="213" customFormat="1" x14ac:dyDescent="0.25">
      <c r="A811" s="212"/>
      <c r="C811" s="212"/>
      <c r="K811" s="212"/>
      <c r="L811" s="212"/>
      <c r="M811" s="212"/>
      <c r="R811" s="214"/>
      <c r="AB811" s="215"/>
      <c r="AG811" s="215"/>
      <c r="AJ811" s="215"/>
    </row>
    <row r="812" spans="1:36" s="213" customFormat="1" x14ac:dyDescent="0.25">
      <c r="A812" s="212"/>
      <c r="C812" s="212"/>
      <c r="K812" s="212"/>
      <c r="L812" s="212"/>
      <c r="M812" s="212"/>
      <c r="R812" s="214"/>
      <c r="AB812" s="215"/>
      <c r="AG812" s="215"/>
      <c r="AJ812" s="215"/>
    </row>
    <row r="813" spans="1:36" s="213" customFormat="1" x14ac:dyDescent="0.25">
      <c r="A813" s="212"/>
      <c r="C813" s="212"/>
      <c r="K813" s="212"/>
      <c r="L813" s="212"/>
      <c r="M813" s="212"/>
      <c r="R813" s="214"/>
      <c r="AB813" s="215"/>
      <c r="AG813" s="215"/>
      <c r="AJ813" s="215"/>
    </row>
    <row r="814" spans="1:36" s="213" customFormat="1" x14ac:dyDescent="0.25">
      <c r="A814" s="212"/>
      <c r="C814" s="212"/>
      <c r="K814" s="212"/>
      <c r="L814" s="212"/>
      <c r="M814" s="212"/>
      <c r="R814" s="214"/>
      <c r="AB814" s="215"/>
      <c r="AG814" s="215"/>
      <c r="AJ814" s="215"/>
    </row>
    <row r="815" spans="1:36" s="213" customFormat="1" x14ac:dyDescent="0.25">
      <c r="A815" s="212"/>
      <c r="C815" s="212"/>
      <c r="K815" s="212"/>
      <c r="L815" s="212"/>
      <c r="M815" s="212"/>
      <c r="R815" s="214"/>
      <c r="AB815" s="215"/>
      <c r="AG815" s="215"/>
      <c r="AJ815" s="215"/>
    </row>
    <row r="816" spans="1:36" s="213" customFormat="1" x14ac:dyDescent="0.25">
      <c r="A816" s="212"/>
      <c r="C816" s="212"/>
      <c r="K816" s="212"/>
      <c r="L816" s="212"/>
      <c r="M816" s="212"/>
      <c r="R816" s="214"/>
      <c r="AB816" s="215"/>
      <c r="AG816" s="215"/>
      <c r="AJ816" s="215"/>
    </row>
    <row r="817" spans="1:36" s="213" customFormat="1" x14ac:dyDescent="0.25">
      <c r="A817" s="212"/>
      <c r="C817" s="212"/>
      <c r="K817" s="212"/>
      <c r="L817" s="212"/>
      <c r="M817" s="212"/>
      <c r="R817" s="214"/>
      <c r="AB817" s="215"/>
      <c r="AG817" s="215"/>
      <c r="AJ817" s="215"/>
    </row>
    <row r="818" spans="1:36" s="213" customFormat="1" x14ac:dyDescent="0.25">
      <c r="A818" s="212"/>
      <c r="C818" s="212"/>
      <c r="K818" s="212"/>
      <c r="L818" s="212"/>
      <c r="M818" s="212"/>
      <c r="R818" s="214"/>
      <c r="AB818" s="215"/>
      <c r="AG818" s="215"/>
      <c r="AJ818" s="215"/>
    </row>
    <row r="819" spans="1:36" s="213" customFormat="1" x14ac:dyDescent="0.25">
      <c r="A819" s="212"/>
      <c r="C819" s="212"/>
      <c r="K819" s="212"/>
      <c r="L819" s="212"/>
      <c r="M819" s="212"/>
      <c r="R819" s="214"/>
      <c r="AB819" s="215"/>
      <c r="AG819" s="215"/>
      <c r="AJ819" s="215"/>
    </row>
    <row r="820" spans="1:36" s="213" customFormat="1" x14ac:dyDescent="0.25">
      <c r="A820" s="212"/>
      <c r="C820" s="212"/>
      <c r="K820" s="212"/>
      <c r="L820" s="212"/>
      <c r="M820" s="212"/>
      <c r="R820" s="214"/>
      <c r="AB820" s="215"/>
      <c r="AG820" s="215"/>
      <c r="AJ820" s="215"/>
    </row>
    <row r="821" spans="1:36" s="213" customFormat="1" x14ac:dyDescent="0.25">
      <c r="A821" s="212"/>
      <c r="C821" s="212"/>
      <c r="K821" s="212"/>
      <c r="L821" s="212"/>
      <c r="M821" s="212"/>
      <c r="R821" s="214"/>
      <c r="AB821" s="215"/>
      <c r="AG821" s="215"/>
      <c r="AJ821" s="215"/>
    </row>
    <row r="822" spans="1:36" s="213" customFormat="1" x14ac:dyDescent="0.25">
      <c r="A822" s="212"/>
      <c r="C822" s="212"/>
      <c r="K822" s="212"/>
      <c r="L822" s="212"/>
      <c r="M822" s="212"/>
      <c r="R822" s="214"/>
      <c r="AB822" s="215"/>
      <c r="AG822" s="215"/>
      <c r="AJ822" s="215"/>
    </row>
    <row r="823" spans="1:36" s="213" customFormat="1" x14ac:dyDescent="0.25">
      <c r="A823" s="212"/>
      <c r="C823" s="212"/>
      <c r="K823" s="212"/>
      <c r="L823" s="212"/>
      <c r="M823" s="212"/>
      <c r="R823" s="214"/>
      <c r="AB823" s="215"/>
      <c r="AG823" s="215"/>
      <c r="AJ823" s="215"/>
    </row>
    <row r="824" spans="1:36" s="213" customFormat="1" x14ac:dyDescent="0.25">
      <c r="A824" s="212"/>
      <c r="C824" s="212"/>
      <c r="K824" s="212"/>
      <c r="L824" s="212"/>
      <c r="M824" s="212"/>
      <c r="R824" s="214"/>
      <c r="AB824" s="215"/>
      <c r="AG824" s="215"/>
      <c r="AJ824" s="215"/>
    </row>
    <row r="825" spans="1:36" s="213" customFormat="1" x14ac:dyDescent="0.25">
      <c r="A825" s="212"/>
      <c r="C825" s="212"/>
      <c r="K825" s="212"/>
      <c r="L825" s="212"/>
      <c r="M825" s="212"/>
      <c r="R825" s="214"/>
      <c r="AB825" s="215"/>
      <c r="AG825" s="215"/>
      <c r="AJ825" s="215"/>
    </row>
    <row r="826" spans="1:36" s="213" customFormat="1" x14ac:dyDescent="0.25">
      <c r="A826" s="212"/>
      <c r="C826" s="212"/>
      <c r="K826" s="212"/>
      <c r="L826" s="212"/>
      <c r="M826" s="212"/>
      <c r="R826" s="214"/>
      <c r="AB826" s="215"/>
      <c r="AG826" s="215"/>
      <c r="AJ826" s="215"/>
    </row>
    <row r="827" spans="1:36" s="213" customFormat="1" x14ac:dyDescent="0.25">
      <c r="A827" s="212"/>
      <c r="C827" s="212"/>
      <c r="K827" s="212"/>
      <c r="L827" s="212"/>
      <c r="M827" s="212"/>
      <c r="R827" s="214"/>
      <c r="AB827" s="215"/>
      <c r="AG827" s="215"/>
      <c r="AJ827" s="215"/>
    </row>
    <row r="828" spans="1:36" s="213" customFormat="1" x14ac:dyDescent="0.25">
      <c r="A828" s="212"/>
      <c r="C828" s="212"/>
      <c r="K828" s="212"/>
      <c r="L828" s="212"/>
      <c r="M828" s="212"/>
      <c r="R828" s="214"/>
      <c r="AB828" s="215"/>
      <c r="AG828" s="215"/>
      <c r="AJ828" s="215"/>
    </row>
    <row r="829" spans="1:36" s="213" customFormat="1" x14ac:dyDescent="0.25">
      <c r="A829" s="212"/>
      <c r="C829" s="212"/>
      <c r="K829" s="212"/>
      <c r="L829" s="212"/>
      <c r="M829" s="212"/>
      <c r="R829" s="214"/>
      <c r="AB829" s="215"/>
      <c r="AG829" s="215"/>
      <c r="AJ829" s="215"/>
    </row>
    <row r="830" spans="1:36" s="213" customFormat="1" x14ac:dyDescent="0.25">
      <c r="A830" s="212"/>
      <c r="C830" s="212"/>
      <c r="K830" s="212"/>
      <c r="L830" s="212"/>
      <c r="M830" s="212"/>
      <c r="R830" s="214"/>
      <c r="AB830" s="215"/>
      <c r="AG830" s="215"/>
      <c r="AJ830" s="215"/>
    </row>
    <row r="831" spans="1:36" s="213" customFormat="1" x14ac:dyDescent="0.25">
      <c r="A831" s="212"/>
      <c r="C831" s="212"/>
      <c r="K831" s="212"/>
      <c r="L831" s="212"/>
      <c r="M831" s="212"/>
      <c r="R831" s="214"/>
      <c r="AB831" s="215"/>
      <c r="AG831" s="215"/>
      <c r="AJ831" s="215"/>
    </row>
    <row r="832" spans="1:36" s="213" customFormat="1" x14ac:dyDescent="0.25">
      <c r="A832" s="212"/>
      <c r="C832" s="212"/>
      <c r="K832" s="212"/>
      <c r="L832" s="212"/>
      <c r="M832" s="212"/>
      <c r="R832" s="214"/>
      <c r="AB832" s="215"/>
      <c r="AG832" s="215"/>
      <c r="AJ832" s="215"/>
    </row>
    <row r="833" spans="1:36" s="213" customFormat="1" x14ac:dyDescent="0.25">
      <c r="A833" s="212"/>
      <c r="C833" s="212"/>
      <c r="K833" s="212"/>
      <c r="L833" s="212"/>
      <c r="M833" s="212"/>
      <c r="R833" s="214"/>
      <c r="AB833" s="215"/>
      <c r="AG833" s="215"/>
      <c r="AJ833" s="215"/>
    </row>
    <row r="834" spans="1:36" s="213" customFormat="1" x14ac:dyDescent="0.25">
      <c r="A834" s="212"/>
      <c r="C834" s="212"/>
      <c r="K834" s="212"/>
      <c r="L834" s="212"/>
      <c r="M834" s="212"/>
      <c r="R834" s="214"/>
      <c r="AB834" s="215"/>
      <c r="AG834" s="215"/>
      <c r="AJ834" s="215"/>
    </row>
    <row r="835" spans="1:36" s="213" customFormat="1" x14ac:dyDescent="0.25">
      <c r="A835" s="212"/>
      <c r="C835" s="212"/>
      <c r="K835" s="212"/>
      <c r="L835" s="212"/>
      <c r="M835" s="212"/>
      <c r="R835" s="214"/>
      <c r="AB835" s="215"/>
      <c r="AG835" s="215"/>
      <c r="AJ835" s="215"/>
    </row>
    <row r="836" spans="1:36" s="213" customFormat="1" x14ac:dyDescent="0.25">
      <c r="A836" s="212"/>
      <c r="C836" s="212"/>
      <c r="K836" s="212"/>
      <c r="L836" s="212"/>
      <c r="M836" s="212"/>
      <c r="R836" s="214"/>
      <c r="AB836" s="215"/>
      <c r="AG836" s="215"/>
      <c r="AJ836" s="215"/>
    </row>
    <row r="837" spans="1:36" s="213" customFormat="1" x14ac:dyDescent="0.25">
      <c r="A837" s="212"/>
      <c r="C837" s="212"/>
      <c r="K837" s="212"/>
      <c r="L837" s="212"/>
      <c r="M837" s="212"/>
      <c r="R837" s="214"/>
      <c r="AB837" s="215"/>
      <c r="AG837" s="215"/>
      <c r="AJ837" s="215"/>
    </row>
    <row r="838" spans="1:36" s="213" customFormat="1" x14ac:dyDescent="0.25">
      <c r="A838" s="212"/>
      <c r="C838" s="212"/>
      <c r="K838" s="212"/>
      <c r="L838" s="212"/>
      <c r="M838" s="212"/>
      <c r="R838" s="214"/>
      <c r="AB838" s="215"/>
      <c r="AG838" s="215"/>
      <c r="AJ838" s="215"/>
    </row>
    <row r="839" spans="1:36" s="213" customFormat="1" x14ac:dyDescent="0.25">
      <c r="A839" s="212"/>
      <c r="C839" s="212"/>
      <c r="K839" s="212"/>
      <c r="L839" s="212"/>
      <c r="M839" s="212"/>
      <c r="R839" s="214"/>
      <c r="AB839" s="215"/>
      <c r="AG839" s="215"/>
      <c r="AJ839" s="215"/>
    </row>
    <row r="840" spans="1:36" s="213" customFormat="1" x14ac:dyDescent="0.25">
      <c r="A840" s="212"/>
      <c r="C840" s="212"/>
      <c r="K840" s="212"/>
      <c r="L840" s="212"/>
      <c r="M840" s="212"/>
      <c r="R840" s="214"/>
      <c r="AB840" s="215"/>
      <c r="AG840" s="215"/>
      <c r="AJ840" s="215"/>
    </row>
    <row r="841" spans="1:36" s="213" customFormat="1" x14ac:dyDescent="0.25">
      <c r="A841" s="212"/>
      <c r="C841" s="212"/>
      <c r="K841" s="212"/>
      <c r="L841" s="212"/>
      <c r="M841" s="212"/>
      <c r="R841" s="214"/>
      <c r="AB841" s="215"/>
      <c r="AG841" s="215"/>
      <c r="AJ841" s="215"/>
    </row>
    <row r="842" spans="1:36" s="213" customFormat="1" x14ac:dyDescent="0.25">
      <c r="A842" s="212"/>
      <c r="C842" s="212"/>
      <c r="K842" s="212"/>
      <c r="L842" s="212"/>
      <c r="M842" s="212"/>
      <c r="R842" s="214"/>
      <c r="AB842" s="215"/>
      <c r="AG842" s="215"/>
      <c r="AJ842" s="215"/>
    </row>
    <row r="843" spans="1:36" s="213" customFormat="1" x14ac:dyDescent="0.25">
      <c r="A843" s="212"/>
      <c r="C843" s="212"/>
      <c r="K843" s="212"/>
      <c r="L843" s="212"/>
      <c r="M843" s="212"/>
      <c r="R843" s="214"/>
      <c r="AB843" s="215"/>
      <c r="AG843" s="215"/>
      <c r="AJ843" s="215"/>
    </row>
    <row r="844" spans="1:36" s="213" customFormat="1" x14ac:dyDescent="0.25">
      <c r="A844" s="212"/>
      <c r="C844" s="212"/>
      <c r="K844" s="212"/>
      <c r="L844" s="212"/>
      <c r="M844" s="212"/>
      <c r="R844" s="214"/>
      <c r="AB844" s="215"/>
      <c r="AG844" s="215"/>
      <c r="AJ844" s="215"/>
    </row>
    <row r="845" spans="1:36" s="213" customFormat="1" x14ac:dyDescent="0.25">
      <c r="A845" s="212"/>
      <c r="C845" s="212"/>
      <c r="K845" s="212"/>
      <c r="L845" s="212"/>
      <c r="M845" s="212"/>
      <c r="R845" s="214"/>
      <c r="AB845" s="215"/>
      <c r="AG845" s="215"/>
      <c r="AJ845" s="215"/>
    </row>
    <row r="846" spans="1:36" s="213" customFormat="1" x14ac:dyDescent="0.25">
      <c r="A846" s="212"/>
      <c r="C846" s="212"/>
      <c r="K846" s="212"/>
      <c r="L846" s="212"/>
      <c r="M846" s="212"/>
      <c r="R846" s="214"/>
      <c r="AB846" s="215"/>
      <c r="AG846" s="215"/>
      <c r="AJ846" s="215"/>
    </row>
    <row r="847" spans="1:36" s="213" customFormat="1" x14ac:dyDescent="0.25">
      <c r="A847" s="212"/>
      <c r="C847" s="212"/>
      <c r="K847" s="212"/>
      <c r="L847" s="212"/>
      <c r="M847" s="212"/>
      <c r="R847" s="214"/>
      <c r="AB847" s="215"/>
      <c r="AG847" s="215"/>
      <c r="AJ847" s="215"/>
    </row>
    <row r="848" spans="1:36" s="213" customFormat="1" x14ac:dyDescent="0.25">
      <c r="A848" s="212"/>
      <c r="C848" s="212"/>
      <c r="K848" s="212"/>
      <c r="L848" s="212"/>
      <c r="M848" s="212"/>
      <c r="R848" s="214"/>
      <c r="AB848" s="215"/>
      <c r="AG848" s="215"/>
      <c r="AJ848" s="215"/>
    </row>
    <row r="849" spans="1:36" s="213" customFormat="1" x14ac:dyDescent="0.25">
      <c r="A849" s="212"/>
      <c r="C849" s="212"/>
      <c r="K849" s="212"/>
      <c r="L849" s="212"/>
      <c r="M849" s="212"/>
      <c r="R849" s="214"/>
      <c r="AB849" s="215"/>
      <c r="AG849" s="215"/>
      <c r="AJ849" s="215"/>
    </row>
    <row r="850" spans="1:36" s="213" customFormat="1" x14ac:dyDescent="0.25">
      <c r="A850" s="212"/>
      <c r="C850" s="212"/>
      <c r="K850" s="212"/>
      <c r="L850" s="212"/>
      <c r="M850" s="212"/>
      <c r="R850" s="214"/>
      <c r="AB850" s="215"/>
      <c r="AG850" s="215"/>
      <c r="AJ850" s="215"/>
    </row>
    <row r="851" spans="1:36" s="213" customFormat="1" x14ac:dyDescent="0.25">
      <c r="A851" s="212"/>
      <c r="C851" s="212"/>
      <c r="K851" s="212"/>
      <c r="L851" s="212"/>
      <c r="M851" s="212"/>
      <c r="R851" s="214"/>
      <c r="AB851" s="215"/>
      <c r="AG851" s="215"/>
      <c r="AJ851" s="215"/>
    </row>
    <row r="852" spans="1:36" s="213" customFormat="1" x14ac:dyDescent="0.25">
      <c r="A852" s="212"/>
      <c r="C852" s="212"/>
      <c r="K852" s="212"/>
      <c r="L852" s="212"/>
      <c r="M852" s="212"/>
      <c r="R852" s="214"/>
      <c r="AB852" s="215"/>
      <c r="AG852" s="215"/>
      <c r="AJ852" s="215"/>
    </row>
    <row r="853" spans="1:36" s="213" customFormat="1" x14ac:dyDescent="0.25">
      <c r="A853" s="212"/>
      <c r="C853" s="212"/>
      <c r="K853" s="212"/>
      <c r="L853" s="212"/>
      <c r="M853" s="212"/>
      <c r="R853" s="214"/>
      <c r="AB853" s="215"/>
      <c r="AG853" s="215"/>
      <c r="AJ853" s="215"/>
    </row>
    <row r="854" spans="1:36" s="213" customFormat="1" x14ac:dyDescent="0.25">
      <c r="A854" s="212"/>
      <c r="C854" s="212"/>
      <c r="K854" s="212"/>
      <c r="L854" s="212"/>
      <c r="M854" s="212"/>
      <c r="R854" s="214"/>
      <c r="AB854" s="215"/>
      <c r="AG854" s="215"/>
      <c r="AJ854" s="215"/>
    </row>
    <row r="855" spans="1:36" s="213" customFormat="1" x14ac:dyDescent="0.25">
      <c r="A855" s="212"/>
      <c r="C855" s="212"/>
      <c r="K855" s="212"/>
      <c r="L855" s="212"/>
      <c r="M855" s="212"/>
      <c r="R855" s="214"/>
      <c r="AB855" s="215"/>
      <c r="AG855" s="215"/>
      <c r="AJ855" s="215"/>
    </row>
    <row r="856" spans="1:36" s="213" customFormat="1" x14ac:dyDescent="0.25">
      <c r="A856" s="212"/>
      <c r="C856" s="212"/>
      <c r="K856" s="212"/>
      <c r="L856" s="212"/>
      <c r="M856" s="212"/>
      <c r="R856" s="214"/>
      <c r="AB856" s="215"/>
      <c r="AG856" s="215"/>
      <c r="AJ856" s="215"/>
    </row>
    <row r="857" spans="1:36" s="213" customFormat="1" x14ac:dyDescent="0.25">
      <c r="A857" s="212"/>
      <c r="C857" s="212"/>
      <c r="K857" s="212"/>
      <c r="L857" s="212"/>
      <c r="M857" s="212"/>
      <c r="R857" s="214"/>
      <c r="AB857" s="215"/>
      <c r="AG857" s="215"/>
      <c r="AJ857" s="215"/>
    </row>
    <row r="858" spans="1:36" s="213" customFormat="1" x14ac:dyDescent="0.25">
      <c r="A858" s="212"/>
      <c r="C858" s="212"/>
      <c r="K858" s="212"/>
      <c r="L858" s="212"/>
      <c r="M858" s="212"/>
      <c r="R858" s="214"/>
      <c r="AB858" s="215"/>
      <c r="AG858" s="215"/>
      <c r="AJ858" s="215"/>
    </row>
    <row r="859" spans="1:36" s="213" customFormat="1" x14ac:dyDescent="0.25">
      <c r="A859" s="212"/>
      <c r="C859" s="212"/>
      <c r="K859" s="212"/>
      <c r="L859" s="212"/>
      <c r="M859" s="212"/>
      <c r="R859" s="214"/>
      <c r="AB859" s="215"/>
      <c r="AG859" s="215"/>
      <c r="AJ859" s="215"/>
    </row>
    <row r="860" spans="1:36" s="213" customFormat="1" x14ac:dyDescent="0.25">
      <c r="A860" s="212"/>
      <c r="C860" s="212"/>
      <c r="K860" s="212"/>
      <c r="L860" s="212"/>
      <c r="M860" s="212"/>
      <c r="R860" s="214"/>
      <c r="AB860" s="215"/>
      <c r="AG860" s="215"/>
      <c r="AJ860" s="215"/>
    </row>
    <row r="861" spans="1:36" s="213" customFormat="1" x14ac:dyDescent="0.25">
      <c r="A861" s="212"/>
      <c r="C861" s="212"/>
      <c r="K861" s="212"/>
      <c r="L861" s="212"/>
      <c r="M861" s="212"/>
      <c r="R861" s="214"/>
      <c r="AB861" s="215"/>
      <c r="AG861" s="215"/>
      <c r="AJ861" s="215"/>
    </row>
    <row r="862" spans="1:36" s="213" customFormat="1" x14ac:dyDescent="0.25">
      <c r="A862" s="212"/>
      <c r="C862" s="212"/>
      <c r="K862" s="212"/>
      <c r="L862" s="212"/>
      <c r="M862" s="212"/>
      <c r="R862" s="214"/>
      <c r="AB862" s="215"/>
      <c r="AG862" s="215"/>
      <c r="AJ862" s="215"/>
    </row>
    <row r="863" spans="1:36" s="213" customFormat="1" x14ac:dyDescent="0.25">
      <c r="A863" s="212"/>
      <c r="C863" s="212"/>
      <c r="K863" s="212"/>
      <c r="L863" s="212"/>
      <c r="M863" s="212"/>
      <c r="R863" s="214"/>
      <c r="AB863" s="215"/>
      <c r="AG863" s="215"/>
      <c r="AJ863" s="215"/>
    </row>
    <row r="864" spans="1:36" s="213" customFormat="1" x14ac:dyDescent="0.25">
      <c r="A864" s="212"/>
      <c r="C864" s="212"/>
      <c r="K864" s="212"/>
      <c r="L864" s="212"/>
      <c r="M864" s="212"/>
      <c r="R864" s="214"/>
      <c r="AB864" s="215"/>
      <c r="AG864" s="215"/>
      <c r="AJ864" s="215"/>
    </row>
    <row r="865" spans="1:36" s="213" customFormat="1" x14ac:dyDescent="0.25">
      <c r="A865" s="212"/>
      <c r="C865" s="212"/>
      <c r="K865" s="212"/>
      <c r="L865" s="212"/>
      <c r="M865" s="212"/>
      <c r="R865" s="214"/>
      <c r="AB865" s="215"/>
      <c r="AG865" s="215"/>
      <c r="AJ865" s="215"/>
    </row>
    <row r="866" spans="1:36" s="213" customFormat="1" x14ac:dyDescent="0.25">
      <c r="A866" s="212"/>
      <c r="C866" s="212"/>
      <c r="K866" s="212"/>
      <c r="L866" s="212"/>
      <c r="M866" s="212"/>
      <c r="R866" s="214"/>
      <c r="AB866" s="215"/>
      <c r="AG866" s="215"/>
      <c r="AJ866" s="215"/>
    </row>
    <row r="867" spans="1:36" s="213" customFormat="1" x14ac:dyDescent="0.25">
      <c r="A867" s="212"/>
      <c r="C867" s="212"/>
      <c r="K867" s="212"/>
      <c r="L867" s="212"/>
      <c r="M867" s="212"/>
      <c r="R867" s="214"/>
      <c r="AB867" s="215"/>
      <c r="AG867" s="215"/>
      <c r="AJ867" s="215"/>
    </row>
    <row r="868" spans="1:36" s="213" customFormat="1" x14ac:dyDescent="0.25">
      <c r="A868" s="212"/>
      <c r="C868" s="212"/>
      <c r="K868" s="212"/>
      <c r="L868" s="212"/>
      <c r="M868" s="212"/>
      <c r="R868" s="214"/>
      <c r="AB868" s="215"/>
      <c r="AG868" s="215"/>
      <c r="AJ868" s="215"/>
    </row>
    <row r="869" spans="1:36" s="213" customFormat="1" x14ac:dyDescent="0.25">
      <c r="A869" s="212"/>
      <c r="C869" s="212"/>
      <c r="K869" s="212"/>
      <c r="L869" s="212"/>
      <c r="M869" s="212"/>
      <c r="R869" s="214"/>
      <c r="AB869" s="215"/>
      <c r="AG869" s="215"/>
      <c r="AJ869" s="215"/>
    </row>
    <row r="870" spans="1:36" s="213" customFormat="1" x14ac:dyDescent="0.25">
      <c r="A870" s="212"/>
      <c r="C870" s="212"/>
      <c r="K870" s="212"/>
      <c r="L870" s="212"/>
      <c r="M870" s="212"/>
      <c r="R870" s="214"/>
      <c r="AB870" s="215"/>
      <c r="AG870" s="215"/>
      <c r="AJ870" s="215"/>
    </row>
    <row r="871" spans="1:36" s="213" customFormat="1" x14ac:dyDescent="0.25">
      <c r="A871" s="212"/>
      <c r="C871" s="212"/>
      <c r="K871" s="212"/>
      <c r="L871" s="212"/>
      <c r="M871" s="212"/>
      <c r="R871" s="214"/>
      <c r="AB871" s="215"/>
      <c r="AG871" s="215"/>
      <c r="AJ871" s="215"/>
    </row>
    <row r="872" spans="1:36" s="213" customFormat="1" x14ac:dyDescent="0.25">
      <c r="A872" s="212"/>
      <c r="C872" s="212"/>
      <c r="K872" s="212"/>
      <c r="L872" s="212"/>
      <c r="M872" s="212"/>
      <c r="R872" s="214"/>
      <c r="AB872" s="215"/>
      <c r="AG872" s="215"/>
      <c r="AJ872" s="215"/>
    </row>
    <row r="873" spans="1:36" s="213" customFormat="1" x14ac:dyDescent="0.25">
      <c r="A873" s="212"/>
      <c r="C873" s="212"/>
      <c r="K873" s="212"/>
      <c r="L873" s="212"/>
      <c r="M873" s="212"/>
      <c r="R873" s="214"/>
      <c r="AB873" s="215"/>
      <c r="AG873" s="215"/>
      <c r="AJ873" s="215"/>
    </row>
    <row r="874" spans="1:36" s="213" customFormat="1" x14ac:dyDescent="0.25">
      <c r="A874" s="212"/>
      <c r="C874" s="212"/>
      <c r="K874" s="212"/>
      <c r="L874" s="212"/>
      <c r="M874" s="212"/>
      <c r="R874" s="214"/>
      <c r="AB874" s="215"/>
      <c r="AG874" s="215"/>
      <c r="AJ874" s="215"/>
    </row>
    <row r="875" spans="1:36" s="213" customFormat="1" x14ac:dyDescent="0.25">
      <c r="A875" s="212"/>
      <c r="C875" s="212"/>
      <c r="K875" s="212"/>
      <c r="L875" s="212"/>
      <c r="M875" s="212"/>
      <c r="R875" s="214"/>
      <c r="AB875" s="215"/>
      <c r="AG875" s="215"/>
      <c r="AJ875" s="215"/>
    </row>
    <row r="876" spans="1:36" s="213" customFormat="1" x14ac:dyDescent="0.25">
      <c r="A876" s="212"/>
      <c r="C876" s="212"/>
      <c r="K876" s="212"/>
      <c r="L876" s="212"/>
      <c r="M876" s="212"/>
      <c r="R876" s="214"/>
      <c r="AB876" s="215"/>
      <c r="AG876" s="215"/>
      <c r="AJ876" s="215"/>
    </row>
    <row r="877" spans="1:36" s="213" customFormat="1" x14ac:dyDescent="0.25">
      <c r="A877" s="212"/>
      <c r="C877" s="212"/>
      <c r="K877" s="212"/>
      <c r="L877" s="212"/>
      <c r="M877" s="212"/>
      <c r="R877" s="214"/>
      <c r="AB877" s="215"/>
      <c r="AG877" s="215"/>
      <c r="AJ877" s="215"/>
    </row>
    <row r="878" spans="1:36" s="213" customFormat="1" x14ac:dyDescent="0.25">
      <c r="A878" s="212"/>
      <c r="C878" s="212"/>
      <c r="K878" s="212"/>
      <c r="L878" s="212"/>
      <c r="M878" s="212"/>
      <c r="R878" s="214"/>
      <c r="AB878" s="215"/>
      <c r="AG878" s="215"/>
      <c r="AJ878" s="215"/>
    </row>
    <row r="879" spans="1:36" s="213" customFormat="1" x14ac:dyDescent="0.25">
      <c r="A879" s="212"/>
      <c r="C879" s="212"/>
      <c r="K879" s="212"/>
      <c r="L879" s="212"/>
      <c r="M879" s="212"/>
      <c r="R879" s="214"/>
      <c r="AB879" s="215"/>
      <c r="AG879" s="215"/>
      <c r="AJ879" s="215"/>
    </row>
    <row r="880" spans="1:36" s="213" customFormat="1" x14ac:dyDescent="0.25">
      <c r="A880" s="212"/>
      <c r="C880" s="212"/>
      <c r="K880" s="212"/>
      <c r="L880" s="212"/>
      <c r="M880" s="212"/>
      <c r="R880" s="214"/>
      <c r="AB880" s="215"/>
      <c r="AG880" s="215"/>
      <c r="AJ880" s="215"/>
    </row>
    <row r="881" spans="1:36" s="213" customFormat="1" x14ac:dyDescent="0.25">
      <c r="A881" s="212"/>
      <c r="C881" s="212"/>
      <c r="K881" s="212"/>
      <c r="L881" s="212"/>
      <c r="M881" s="212"/>
      <c r="R881" s="214"/>
      <c r="AB881" s="215"/>
      <c r="AG881" s="215"/>
      <c r="AJ881" s="215"/>
    </row>
    <row r="882" spans="1:36" s="213" customFormat="1" x14ac:dyDescent="0.25">
      <c r="A882" s="212"/>
      <c r="C882" s="212"/>
      <c r="K882" s="212"/>
      <c r="L882" s="212"/>
      <c r="M882" s="212"/>
      <c r="R882" s="214"/>
      <c r="AB882" s="215"/>
      <c r="AG882" s="215"/>
      <c r="AJ882" s="215"/>
    </row>
    <row r="883" spans="1:36" s="213" customFormat="1" x14ac:dyDescent="0.25">
      <c r="A883" s="212"/>
      <c r="C883" s="212"/>
      <c r="K883" s="212"/>
      <c r="L883" s="212"/>
      <c r="M883" s="212"/>
      <c r="R883" s="214"/>
      <c r="AB883" s="215"/>
      <c r="AG883" s="215"/>
      <c r="AJ883" s="215"/>
    </row>
    <row r="884" spans="1:36" s="213" customFormat="1" x14ac:dyDescent="0.25">
      <c r="A884" s="212"/>
      <c r="C884" s="212"/>
      <c r="K884" s="212"/>
      <c r="L884" s="212"/>
      <c r="M884" s="212"/>
      <c r="R884" s="214"/>
      <c r="AB884" s="215"/>
      <c r="AG884" s="215"/>
      <c r="AJ884" s="215"/>
    </row>
    <row r="885" spans="1:36" s="213" customFormat="1" x14ac:dyDescent="0.25">
      <c r="A885" s="212"/>
      <c r="C885" s="212"/>
      <c r="K885" s="212"/>
      <c r="L885" s="212"/>
      <c r="M885" s="212"/>
      <c r="R885" s="214"/>
      <c r="AB885" s="215"/>
      <c r="AG885" s="215"/>
      <c r="AJ885" s="215"/>
    </row>
    <row r="886" spans="1:36" s="213" customFormat="1" x14ac:dyDescent="0.25">
      <c r="A886" s="212"/>
      <c r="C886" s="212"/>
      <c r="K886" s="212"/>
      <c r="L886" s="212"/>
      <c r="M886" s="212"/>
      <c r="R886" s="214"/>
      <c r="AB886" s="215"/>
      <c r="AG886" s="215"/>
      <c r="AJ886" s="215"/>
    </row>
    <row r="887" spans="1:36" s="213" customFormat="1" x14ac:dyDescent="0.25">
      <c r="A887" s="212"/>
      <c r="C887" s="212"/>
      <c r="K887" s="212"/>
      <c r="L887" s="212"/>
      <c r="M887" s="212"/>
      <c r="R887" s="214"/>
      <c r="AB887" s="215"/>
      <c r="AG887" s="215"/>
      <c r="AJ887" s="215"/>
    </row>
    <row r="888" spans="1:36" s="213" customFormat="1" x14ac:dyDescent="0.25">
      <c r="A888" s="212"/>
      <c r="C888" s="212"/>
      <c r="K888" s="212"/>
      <c r="L888" s="212"/>
      <c r="M888" s="212"/>
      <c r="R888" s="214"/>
      <c r="AB888" s="215"/>
      <c r="AG888" s="215"/>
      <c r="AJ888" s="215"/>
    </row>
    <row r="889" spans="1:36" s="213" customFormat="1" x14ac:dyDescent="0.25">
      <c r="A889" s="212"/>
      <c r="C889" s="212"/>
      <c r="K889" s="212"/>
      <c r="L889" s="212"/>
      <c r="M889" s="212"/>
      <c r="R889" s="214"/>
      <c r="AB889" s="215"/>
      <c r="AG889" s="215"/>
      <c r="AJ889" s="215"/>
    </row>
    <row r="890" spans="1:36" s="213" customFormat="1" x14ac:dyDescent="0.25">
      <c r="A890" s="212"/>
      <c r="C890" s="212"/>
      <c r="K890" s="212"/>
      <c r="L890" s="212"/>
      <c r="M890" s="212"/>
      <c r="R890" s="214"/>
      <c r="AB890" s="215"/>
      <c r="AG890" s="215"/>
      <c r="AJ890" s="215"/>
    </row>
    <row r="891" spans="1:36" s="213" customFormat="1" x14ac:dyDescent="0.25">
      <c r="A891" s="212"/>
      <c r="C891" s="212"/>
      <c r="K891" s="212"/>
      <c r="L891" s="212"/>
      <c r="M891" s="212"/>
      <c r="R891" s="214"/>
      <c r="AB891" s="215"/>
      <c r="AG891" s="215"/>
      <c r="AJ891" s="215"/>
    </row>
    <row r="892" spans="1:36" s="213" customFormat="1" x14ac:dyDescent="0.25">
      <c r="A892" s="212"/>
      <c r="C892" s="212"/>
      <c r="K892" s="212"/>
      <c r="L892" s="212"/>
      <c r="M892" s="212"/>
      <c r="R892" s="214"/>
      <c r="AB892" s="215"/>
      <c r="AG892" s="215"/>
      <c r="AJ892" s="215"/>
    </row>
    <row r="893" spans="1:36" s="213" customFormat="1" x14ac:dyDescent="0.25">
      <c r="A893" s="212"/>
      <c r="C893" s="212"/>
      <c r="K893" s="212"/>
      <c r="L893" s="212"/>
      <c r="M893" s="212"/>
      <c r="R893" s="214"/>
      <c r="AB893" s="215"/>
      <c r="AG893" s="215"/>
      <c r="AJ893" s="215"/>
    </row>
    <row r="894" spans="1:36" s="213" customFormat="1" x14ac:dyDescent="0.25">
      <c r="A894" s="212"/>
      <c r="C894" s="212"/>
      <c r="K894" s="212"/>
      <c r="L894" s="212"/>
      <c r="M894" s="212"/>
      <c r="R894" s="214"/>
      <c r="AB894" s="215"/>
      <c r="AG894" s="215"/>
      <c r="AJ894" s="215"/>
    </row>
    <row r="895" spans="1:36" s="213" customFormat="1" x14ac:dyDescent="0.25">
      <c r="A895" s="212"/>
      <c r="C895" s="212"/>
      <c r="K895" s="212"/>
      <c r="L895" s="212"/>
      <c r="M895" s="212"/>
      <c r="R895" s="214"/>
      <c r="AB895" s="215"/>
      <c r="AG895" s="215"/>
      <c r="AJ895" s="215"/>
    </row>
    <row r="896" spans="1:36" s="213" customFormat="1" x14ac:dyDescent="0.25">
      <c r="A896" s="212"/>
      <c r="C896" s="212"/>
      <c r="K896" s="212"/>
      <c r="L896" s="212"/>
      <c r="M896" s="212"/>
      <c r="R896" s="214"/>
      <c r="AB896" s="215"/>
      <c r="AG896" s="215"/>
      <c r="AJ896" s="215"/>
    </row>
    <row r="897" spans="1:36" s="213" customFormat="1" x14ac:dyDescent="0.25">
      <c r="A897" s="212"/>
      <c r="C897" s="212"/>
      <c r="K897" s="212"/>
      <c r="L897" s="212"/>
      <c r="M897" s="212"/>
      <c r="R897" s="214"/>
      <c r="AB897" s="215"/>
      <c r="AG897" s="215"/>
      <c r="AJ897" s="215"/>
    </row>
    <row r="898" spans="1:36" s="213" customFormat="1" x14ac:dyDescent="0.25">
      <c r="A898" s="212"/>
      <c r="C898" s="212"/>
      <c r="K898" s="212"/>
      <c r="L898" s="212"/>
      <c r="M898" s="212"/>
      <c r="R898" s="214"/>
      <c r="AB898" s="215"/>
      <c r="AG898" s="215"/>
      <c r="AJ898" s="215"/>
    </row>
    <row r="899" spans="1:36" s="213" customFormat="1" x14ac:dyDescent="0.25">
      <c r="A899" s="212"/>
      <c r="C899" s="212"/>
      <c r="K899" s="212"/>
      <c r="L899" s="212"/>
      <c r="M899" s="212"/>
      <c r="R899" s="214"/>
      <c r="AB899" s="215"/>
      <c r="AG899" s="215"/>
      <c r="AJ899" s="215"/>
    </row>
    <row r="900" spans="1:36" s="213" customFormat="1" x14ac:dyDescent="0.25">
      <c r="A900" s="212"/>
      <c r="C900" s="212"/>
      <c r="K900" s="212"/>
      <c r="L900" s="212"/>
      <c r="M900" s="212"/>
      <c r="R900" s="214"/>
      <c r="AB900" s="215"/>
      <c r="AG900" s="215"/>
      <c r="AJ900" s="215"/>
    </row>
    <row r="901" spans="1:36" s="213" customFormat="1" x14ac:dyDescent="0.25">
      <c r="A901" s="212"/>
      <c r="C901" s="212"/>
      <c r="K901" s="212"/>
      <c r="L901" s="212"/>
      <c r="M901" s="212"/>
      <c r="R901" s="214"/>
      <c r="AB901" s="215"/>
      <c r="AG901" s="215"/>
      <c r="AJ901" s="215"/>
    </row>
    <row r="902" spans="1:36" s="213" customFormat="1" x14ac:dyDescent="0.25">
      <c r="A902" s="212"/>
      <c r="C902" s="212"/>
      <c r="K902" s="212"/>
      <c r="L902" s="212"/>
      <c r="M902" s="212"/>
      <c r="R902" s="214"/>
      <c r="AB902" s="215"/>
      <c r="AG902" s="215"/>
      <c r="AJ902" s="215"/>
    </row>
    <row r="903" spans="1:36" s="213" customFormat="1" x14ac:dyDescent="0.25">
      <c r="A903" s="212"/>
      <c r="C903" s="212"/>
      <c r="K903" s="212"/>
      <c r="L903" s="212"/>
      <c r="M903" s="212"/>
      <c r="R903" s="214"/>
      <c r="AB903" s="215"/>
      <c r="AG903" s="215"/>
      <c r="AJ903" s="215"/>
    </row>
    <row r="904" spans="1:36" s="213" customFormat="1" x14ac:dyDescent="0.25">
      <c r="A904" s="212"/>
      <c r="C904" s="212"/>
      <c r="K904" s="212"/>
      <c r="L904" s="212"/>
      <c r="M904" s="212"/>
      <c r="R904" s="214"/>
      <c r="AB904" s="215"/>
      <c r="AG904" s="215"/>
      <c r="AJ904" s="215"/>
    </row>
    <row r="905" spans="1:36" s="213" customFormat="1" x14ac:dyDescent="0.25">
      <c r="A905" s="212"/>
      <c r="C905" s="212"/>
      <c r="K905" s="212"/>
      <c r="L905" s="212"/>
      <c r="M905" s="212"/>
      <c r="R905" s="214"/>
      <c r="AB905" s="215"/>
      <c r="AG905" s="215"/>
      <c r="AJ905" s="215"/>
    </row>
    <row r="906" spans="1:36" s="213" customFormat="1" x14ac:dyDescent="0.25">
      <c r="A906" s="212"/>
      <c r="C906" s="212"/>
      <c r="K906" s="212"/>
      <c r="L906" s="212"/>
      <c r="M906" s="212"/>
      <c r="R906" s="214"/>
      <c r="AB906" s="215"/>
      <c r="AG906" s="215"/>
      <c r="AJ906" s="215"/>
    </row>
    <row r="907" spans="1:36" s="213" customFormat="1" x14ac:dyDescent="0.25">
      <c r="A907" s="212"/>
      <c r="C907" s="212"/>
      <c r="K907" s="212"/>
      <c r="L907" s="212"/>
      <c r="M907" s="212"/>
      <c r="R907" s="214"/>
      <c r="AB907" s="215"/>
      <c r="AG907" s="215"/>
      <c r="AJ907" s="215"/>
    </row>
    <row r="908" spans="1:36" s="213" customFormat="1" x14ac:dyDescent="0.25">
      <c r="A908" s="212"/>
      <c r="C908" s="212"/>
      <c r="K908" s="212"/>
      <c r="L908" s="212"/>
      <c r="M908" s="212"/>
      <c r="R908" s="214"/>
      <c r="AB908" s="215"/>
      <c r="AG908" s="215"/>
      <c r="AJ908" s="215"/>
    </row>
    <row r="909" spans="1:36" s="213" customFormat="1" x14ac:dyDescent="0.25">
      <c r="A909" s="212"/>
      <c r="C909" s="212"/>
      <c r="K909" s="212"/>
      <c r="L909" s="212"/>
      <c r="M909" s="212"/>
      <c r="R909" s="214"/>
      <c r="AB909" s="215"/>
      <c r="AG909" s="215"/>
      <c r="AJ909" s="215"/>
    </row>
    <row r="910" spans="1:36" s="213" customFormat="1" x14ac:dyDescent="0.25">
      <c r="A910" s="212"/>
      <c r="C910" s="212"/>
      <c r="K910" s="212"/>
      <c r="L910" s="212"/>
      <c r="M910" s="212"/>
      <c r="R910" s="214"/>
      <c r="AB910" s="215"/>
      <c r="AG910" s="215"/>
      <c r="AJ910" s="215"/>
    </row>
    <row r="911" spans="1:36" s="213" customFormat="1" x14ac:dyDescent="0.25">
      <c r="A911" s="212"/>
      <c r="C911" s="212"/>
      <c r="K911" s="212"/>
      <c r="L911" s="212"/>
      <c r="M911" s="212"/>
      <c r="R911" s="214"/>
      <c r="AB911" s="215"/>
      <c r="AG911" s="215"/>
      <c r="AJ911" s="215"/>
    </row>
    <row r="912" spans="1:36" s="213" customFormat="1" x14ac:dyDescent="0.25">
      <c r="A912" s="212"/>
      <c r="C912" s="212"/>
      <c r="K912" s="212"/>
      <c r="L912" s="212"/>
      <c r="M912" s="212"/>
      <c r="R912" s="214"/>
      <c r="AB912" s="215"/>
      <c r="AG912" s="215"/>
      <c r="AJ912" s="215"/>
    </row>
    <row r="913" spans="1:36" s="213" customFormat="1" x14ac:dyDescent="0.25">
      <c r="A913" s="212"/>
      <c r="C913" s="212"/>
      <c r="K913" s="212"/>
      <c r="L913" s="212"/>
      <c r="M913" s="212"/>
      <c r="R913" s="214"/>
      <c r="AB913" s="215"/>
      <c r="AG913" s="215"/>
      <c r="AJ913" s="215"/>
    </row>
    <row r="914" spans="1:36" s="213" customFormat="1" x14ac:dyDescent="0.25">
      <c r="A914" s="212"/>
      <c r="C914" s="212"/>
      <c r="K914" s="212"/>
      <c r="L914" s="212"/>
      <c r="M914" s="212"/>
      <c r="R914" s="214"/>
      <c r="AB914" s="215"/>
      <c r="AG914" s="215"/>
      <c r="AJ914" s="215"/>
    </row>
    <row r="915" spans="1:36" s="213" customFormat="1" x14ac:dyDescent="0.25">
      <c r="A915" s="212"/>
      <c r="C915" s="212"/>
      <c r="K915" s="212"/>
      <c r="L915" s="212"/>
      <c r="M915" s="212"/>
      <c r="R915" s="214"/>
      <c r="AB915" s="215"/>
      <c r="AG915" s="215"/>
      <c r="AJ915" s="215"/>
    </row>
    <row r="916" spans="1:36" s="213" customFormat="1" x14ac:dyDescent="0.25">
      <c r="A916" s="212"/>
      <c r="C916" s="212"/>
      <c r="K916" s="212"/>
      <c r="L916" s="212"/>
      <c r="M916" s="212"/>
      <c r="R916" s="214"/>
      <c r="AB916" s="215"/>
      <c r="AG916" s="215"/>
      <c r="AJ916" s="215"/>
    </row>
    <row r="917" spans="1:36" s="213" customFormat="1" x14ac:dyDescent="0.25">
      <c r="A917" s="212"/>
      <c r="C917" s="212"/>
      <c r="K917" s="212"/>
      <c r="L917" s="212"/>
      <c r="M917" s="212"/>
      <c r="R917" s="214"/>
      <c r="AB917" s="215"/>
      <c r="AG917" s="215"/>
      <c r="AJ917" s="215"/>
    </row>
    <row r="918" spans="1:36" s="213" customFormat="1" x14ac:dyDescent="0.25">
      <c r="A918" s="212"/>
      <c r="C918" s="212"/>
      <c r="K918" s="212"/>
      <c r="L918" s="212"/>
      <c r="M918" s="212"/>
      <c r="R918" s="214"/>
      <c r="AB918" s="215"/>
      <c r="AG918" s="215"/>
      <c r="AJ918" s="215"/>
    </row>
    <row r="919" spans="1:36" s="213" customFormat="1" x14ac:dyDescent="0.25">
      <c r="A919" s="212"/>
      <c r="C919" s="212"/>
      <c r="K919" s="212"/>
      <c r="L919" s="212"/>
      <c r="M919" s="212"/>
      <c r="R919" s="214"/>
      <c r="AB919" s="215"/>
      <c r="AG919" s="215"/>
      <c r="AJ919" s="215"/>
    </row>
    <row r="920" spans="1:36" s="213" customFormat="1" x14ac:dyDescent="0.25">
      <c r="A920" s="212"/>
      <c r="C920" s="212"/>
      <c r="K920" s="212"/>
      <c r="L920" s="212"/>
      <c r="M920" s="212"/>
      <c r="R920" s="214"/>
      <c r="AB920" s="215"/>
      <c r="AG920" s="215"/>
      <c r="AJ920" s="215"/>
    </row>
    <row r="921" spans="1:36" s="213" customFormat="1" x14ac:dyDescent="0.25">
      <c r="A921" s="212"/>
      <c r="C921" s="212"/>
      <c r="K921" s="212"/>
      <c r="L921" s="212"/>
      <c r="M921" s="212"/>
      <c r="R921" s="214"/>
      <c r="AB921" s="215"/>
      <c r="AG921" s="215"/>
      <c r="AJ921" s="215"/>
    </row>
    <row r="922" spans="1:36" s="213" customFormat="1" x14ac:dyDescent="0.25">
      <c r="A922" s="212"/>
      <c r="C922" s="212"/>
      <c r="K922" s="212"/>
      <c r="L922" s="212"/>
      <c r="M922" s="212"/>
      <c r="R922" s="214"/>
      <c r="AB922" s="215"/>
      <c r="AG922" s="215"/>
      <c r="AJ922" s="215"/>
    </row>
    <row r="923" spans="1:36" s="213" customFormat="1" x14ac:dyDescent="0.25">
      <c r="A923" s="212"/>
      <c r="C923" s="212"/>
      <c r="K923" s="212"/>
      <c r="L923" s="212"/>
      <c r="M923" s="212"/>
      <c r="R923" s="214"/>
      <c r="AB923" s="215"/>
      <c r="AG923" s="215"/>
      <c r="AJ923" s="215"/>
    </row>
    <row r="924" spans="1:36" s="213" customFormat="1" x14ac:dyDescent="0.25">
      <c r="A924" s="212"/>
      <c r="C924" s="212"/>
      <c r="K924" s="212"/>
      <c r="L924" s="212"/>
      <c r="M924" s="212"/>
      <c r="R924" s="214"/>
      <c r="AB924" s="215"/>
      <c r="AG924" s="215"/>
      <c r="AJ924" s="215"/>
    </row>
    <row r="925" spans="1:36" s="213" customFormat="1" x14ac:dyDescent="0.25">
      <c r="A925" s="212"/>
      <c r="C925" s="212"/>
      <c r="K925" s="212"/>
      <c r="L925" s="212"/>
      <c r="M925" s="212"/>
      <c r="R925" s="214"/>
      <c r="AB925" s="215"/>
      <c r="AG925" s="215"/>
      <c r="AJ925" s="215"/>
    </row>
    <row r="926" spans="1:36" s="213" customFormat="1" x14ac:dyDescent="0.25">
      <c r="A926" s="212"/>
      <c r="C926" s="212"/>
      <c r="K926" s="212"/>
      <c r="L926" s="212"/>
      <c r="M926" s="212"/>
      <c r="R926" s="214"/>
      <c r="AB926" s="215"/>
      <c r="AG926" s="215"/>
      <c r="AJ926" s="215"/>
    </row>
    <row r="927" spans="1:36" s="213" customFormat="1" x14ac:dyDescent="0.25">
      <c r="A927" s="212"/>
      <c r="C927" s="212"/>
      <c r="K927" s="212"/>
      <c r="L927" s="212"/>
      <c r="M927" s="212"/>
      <c r="R927" s="214"/>
      <c r="AB927" s="215"/>
      <c r="AG927" s="215"/>
      <c r="AJ927" s="215"/>
    </row>
    <row r="928" spans="1:36" s="213" customFormat="1" x14ac:dyDescent="0.25">
      <c r="A928" s="212"/>
      <c r="C928" s="212"/>
      <c r="K928" s="212"/>
      <c r="L928" s="212"/>
      <c r="M928" s="212"/>
      <c r="R928" s="214"/>
      <c r="AB928" s="215"/>
      <c r="AG928" s="215"/>
      <c r="AJ928" s="215"/>
    </row>
    <row r="929" spans="1:36" s="213" customFormat="1" x14ac:dyDescent="0.25">
      <c r="A929" s="212"/>
      <c r="C929" s="212"/>
      <c r="K929" s="212"/>
      <c r="L929" s="212"/>
      <c r="M929" s="212"/>
      <c r="R929" s="214"/>
      <c r="AB929" s="215"/>
      <c r="AG929" s="215"/>
      <c r="AJ929" s="215"/>
    </row>
    <row r="930" spans="1:36" s="213" customFormat="1" x14ac:dyDescent="0.25">
      <c r="A930" s="212"/>
      <c r="C930" s="212"/>
      <c r="K930" s="212"/>
      <c r="L930" s="212"/>
      <c r="M930" s="212"/>
      <c r="R930" s="214"/>
      <c r="AB930" s="215"/>
      <c r="AG930" s="215"/>
      <c r="AJ930" s="215"/>
    </row>
    <row r="931" spans="1:36" s="213" customFormat="1" x14ac:dyDescent="0.25">
      <c r="A931" s="212"/>
      <c r="C931" s="212"/>
      <c r="K931" s="212"/>
      <c r="L931" s="212"/>
      <c r="M931" s="212"/>
      <c r="R931" s="214"/>
      <c r="AB931" s="215"/>
      <c r="AG931" s="215"/>
      <c r="AJ931" s="215"/>
    </row>
    <row r="932" spans="1:36" s="213" customFormat="1" x14ac:dyDescent="0.25">
      <c r="A932" s="212"/>
      <c r="C932" s="212"/>
      <c r="K932" s="212"/>
      <c r="L932" s="212"/>
      <c r="M932" s="212"/>
      <c r="R932" s="214"/>
      <c r="AB932" s="215"/>
      <c r="AG932" s="215"/>
      <c r="AJ932" s="215"/>
    </row>
    <row r="933" spans="1:36" s="213" customFormat="1" x14ac:dyDescent="0.25">
      <c r="A933" s="212"/>
      <c r="C933" s="212"/>
      <c r="K933" s="212"/>
      <c r="L933" s="212"/>
      <c r="M933" s="212"/>
      <c r="R933" s="214"/>
      <c r="AB933" s="215"/>
      <c r="AG933" s="215"/>
      <c r="AJ933" s="215"/>
    </row>
    <row r="934" spans="1:36" s="213" customFormat="1" x14ac:dyDescent="0.25">
      <c r="A934" s="212"/>
      <c r="C934" s="212"/>
      <c r="K934" s="212"/>
      <c r="L934" s="212"/>
      <c r="M934" s="212"/>
      <c r="R934" s="214"/>
      <c r="AB934" s="215"/>
      <c r="AG934" s="215"/>
      <c r="AJ934" s="215"/>
    </row>
    <row r="935" spans="1:36" s="213" customFormat="1" x14ac:dyDescent="0.25">
      <c r="A935" s="212"/>
      <c r="C935" s="212"/>
      <c r="K935" s="212"/>
      <c r="L935" s="212"/>
      <c r="M935" s="212"/>
      <c r="R935" s="214"/>
      <c r="AB935" s="215"/>
      <c r="AG935" s="215"/>
      <c r="AJ935" s="215"/>
    </row>
    <row r="936" spans="1:36" s="213" customFormat="1" x14ac:dyDescent="0.25">
      <c r="A936" s="212"/>
      <c r="C936" s="212"/>
      <c r="K936" s="212"/>
      <c r="L936" s="212"/>
      <c r="M936" s="212"/>
      <c r="R936" s="214"/>
      <c r="AB936" s="215"/>
      <c r="AG936" s="215"/>
      <c r="AJ936" s="215"/>
    </row>
    <row r="937" spans="1:36" s="213" customFormat="1" x14ac:dyDescent="0.25">
      <c r="A937" s="212"/>
      <c r="C937" s="212"/>
      <c r="K937" s="212"/>
      <c r="L937" s="212"/>
      <c r="M937" s="212"/>
      <c r="R937" s="214"/>
      <c r="AB937" s="215"/>
      <c r="AG937" s="215"/>
      <c r="AJ937" s="215"/>
    </row>
    <row r="938" spans="1:36" s="213" customFormat="1" x14ac:dyDescent="0.25">
      <c r="A938" s="212"/>
      <c r="C938" s="212"/>
      <c r="K938" s="212"/>
      <c r="L938" s="212"/>
      <c r="M938" s="212"/>
      <c r="R938" s="214"/>
      <c r="AB938" s="215"/>
      <c r="AG938" s="215"/>
      <c r="AJ938" s="215"/>
    </row>
    <row r="939" spans="1:36" s="213" customFormat="1" x14ac:dyDescent="0.25">
      <c r="A939" s="212"/>
      <c r="C939" s="212"/>
      <c r="K939" s="212"/>
      <c r="L939" s="212"/>
      <c r="M939" s="212"/>
      <c r="R939" s="214"/>
      <c r="AB939" s="215"/>
      <c r="AG939" s="215"/>
      <c r="AJ939" s="215"/>
    </row>
    <row r="940" spans="1:36" s="213" customFormat="1" x14ac:dyDescent="0.25">
      <c r="A940" s="212"/>
      <c r="C940" s="212"/>
      <c r="K940" s="212"/>
      <c r="L940" s="212"/>
      <c r="M940" s="212"/>
      <c r="R940" s="214"/>
      <c r="AB940" s="215"/>
      <c r="AG940" s="215"/>
      <c r="AJ940" s="215"/>
    </row>
    <row r="941" spans="1:36" s="213" customFormat="1" x14ac:dyDescent="0.25">
      <c r="A941" s="212"/>
      <c r="C941" s="212"/>
      <c r="K941" s="212"/>
      <c r="L941" s="212"/>
      <c r="M941" s="212"/>
      <c r="R941" s="214"/>
      <c r="AB941" s="215"/>
      <c r="AG941" s="215"/>
      <c r="AJ941" s="215"/>
    </row>
    <row r="942" spans="1:36" s="213" customFormat="1" x14ac:dyDescent="0.25">
      <c r="A942" s="212"/>
      <c r="C942" s="212"/>
      <c r="K942" s="212"/>
      <c r="L942" s="212"/>
      <c r="M942" s="212"/>
      <c r="R942" s="214"/>
      <c r="AB942" s="215"/>
      <c r="AG942" s="215"/>
      <c r="AJ942" s="215"/>
    </row>
    <row r="943" spans="1:36" s="213" customFormat="1" x14ac:dyDescent="0.25">
      <c r="A943" s="212"/>
      <c r="C943" s="212"/>
      <c r="K943" s="212"/>
      <c r="L943" s="212"/>
      <c r="M943" s="212"/>
      <c r="R943" s="214"/>
      <c r="AB943" s="215"/>
      <c r="AG943" s="215"/>
      <c r="AJ943" s="215"/>
    </row>
    <row r="944" spans="1:36" s="213" customFormat="1" x14ac:dyDescent="0.25">
      <c r="A944" s="212"/>
      <c r="C944" s="212"/>
      <c r="K944" s="212"/>
      <c r="L944" s="212"/>
      <c r="M944" s="212"/>
      <c r="R944" s="214"/>
      <c r="AB944" s="215"/>
      <c r="AG944" s="215"/>
      <c r="AJ944" s="215"/>
    </row>
    <row r="945" spans="1:36" s="213" customFormat="1" x14ac:dyDescent="0.25">
      <c r="A945" s="212"/>
      <c r="C945" s="212"/>
      <c r="K945" s="212"/>
      <c r="L945" s="212"/>
      <c r="M945" s="212"/>
      <c r="R945" s="214"/>
      <c r="AB945" s="215"/>
      <c r="AG945" s="215"/>
      <c r="AJ945" s="215"/>
    </row>
    <row r="946" spans="1:36" s="213" customFormat="1" x14ac:dyDescent="0.25">
      <c r="A946" s="212"/>
      <c r="C946" s="212"/>
      <c r="K946" s="212"/>
      <c r="L946" s="212"/>
      <c r="M946" s="212"/>
      <c r="R946" s="214"/>
      <c r="AB946" s="215"/>
      <c r="AG946" s="215"/>
      <c r="AJ946" s="215"/>
    </row>
    <row r="947" spans="1:36" s="213" customFormat="1" x14ac:dyDescent="0.25">
      <c r="A947" s="212"/>
      <c r="C947" s="212"/>
      <c r="K947" s="212"/>
      <c r="L947" s="212"/>
      <c r="M947" s="212"/>
      <c r="R947" s="214"/>
      <c r="AB947" s="215"/>
      <c r="AG947" s="215"/>
      <c r="AJ947" s="215"/>
    </row>
    <row r="948" spans="1:36" s="213" customFormat="1" x14ac:dyDescent="0.25">
      <c r="A948" s="212"/>
      <c r="C948" s="212"/>
      <c r="K948" s="212"/>
      <c r="L948" s="212"/>
      <c r="M948" s="212"/>
      <c r="R948" s="214"/>
      <c r="AB948" s="215"/>
      <c r="AG948" s="215"/>
      <c r="AJ948" s="215"/>
    </row>
    <row r="949" spans="1:36" s="213" customFormat="1" x14ac:dyDescent="0.25">
      <c r="A949" s="212"/>
      <c r="C949" s="212"/>
      <c r="K949" s="212"/>
      <c r="L949" s="212"/>
      <c r="M949" s="212"/>
      <c r="R949" s="214"/>
      <c r="AB949" s="215"/>
      <c r="AG949" s="215"/>
      <c r="AJ949" s="215"/>
    </row>
    <row r="950" spans="1:36" s="213" customFormat="1" x14ac:dyDescent="0.25">
      <c r="A950" s="212"/>
      <c r="C950" s="212"/>
      <c r="K950" s="212"/>
      <c r="L950" s="212"/>
      <c r="M950" s="212"/>
      <c r="R950" s="214"/>
      <c r="AB950" s="215"/>
      <c r="AG950" s="215"/>
      <c r="AJ950" s="215"/>
    </row>
    <row r="951" spans="1:36" s="213" customFormat="1" x14ac:dyDescent="0.25">
      <c r="A951" s="212"/>
      <c r="C951" s="212"/>
      <c r="K951" s="212"/>
      <c r="L951" s="212"/>
      <c r="M951" s="212"/>
      <c r="R951" s="214"/>
      <c r="AB951" s="215"/>
      <c r="AG951" s="215"/>
      <c r="AJ951" s="215"/>
    </row>
    <row r="952" spans="1:36" s="213" customFormat="1" x14ac:dyDescent="0.25">
      <c r="A952" s="212"/>
      <c r="C952" s="212"/>
      <c r="K952" s="212"/>
      <c r="L952" s="212"/>
      <c r="M952" s="212"/>
      <c r="R952" s="214"/>
      <c r="AB952" s="215"/>
      <c r="AG952" s="215"/>
      <c r="AJ952" s="215"/>
    </row>
    <row r="953" spans="1:36" s="213" customFormat="1" x14ac:dyDescent="0.25">
      <c r="A953" s="212"/>
      <c r="C953" s="212"/>
      <c r="K953" s="212"/>
      <c r="L953" s="212"/>
      <c r="M953" s="212"/>
      <c r="R953" s="214"/>
      <c r="AB953" s="215"/>
      <c r="AG953" s="215"/>
      <c r="AJ953" s="215"/>
    </row>
    <row r="954" spans="1:36" s="213" customFormat="1" x14ac:dyDescent="0.25">
      <c r="A954" s="212"/>
      <c r="C954" s="212"/>
      <c r="K954" s="212"/>
      <c r="L954" s="212"/>
      <c r="M954" s="212"/>
      <c r="R954" s="214"/>
      <c r="AB954" s="215"/>
      <c r="AG954" s="215"/>
      <c r="AJ954" s="215"/>
    </row>
    <row r="955" spans="1:36" s="213" customFormat="1" x14ac:dyDescent="0.25">
      <c r="A955" s="212"/>
      <c r="C955" s="212"/>
      <c r="K955" s="212"/>
      <c r="L955" s="212"/>
      <c r="M955" s="212"/>
      <c r="R955" s="214"/>
      <c r="AB955" s="215"/>
      <c r="AG955" s="215"/>
      <c r="AJ955" s="215"/>
    </row>
    <row r="956" spans="1:36" s="213" customFormat="1" x14ac:dyDescent="0.25">
      <c r="A956" s="212"/>
      <c r="C956" s="212"/>
      <c r="K956" s="212"/>
      <c r="L956" s="212"/>
      <c r="M956" s="212"/>
      <c r="R956" s="214"/>
      <c r="AB956" s="215"/>
      <c r="AG956" s="215"/>
      <c r="AJ956" s="215"/>
    </row>
    <row r="957" spans="1:36" s="213" customFormat="1" x14ac:dyDescent="0.25">
      <c r="A957" s="212"/>
      <c r="C957" s="212"/>
      <c r="K957" s="212"/>
      <c r="L957" s="212"/>
      <c r="M957" s="212"/>
      <c r="R957" s="214"/>
      <c r="AB957" s="215"/>
      <c r="AG957" s="215"/>
      <c r="AJ957" s="215"/>
    </row>
    <row r="958" spans="1:36" s="213" customFormat="1" x14ac:dyDescent="0.25">
      <c r="A958" s="212"/>
      <c r="C958" s="212"/>
      <c r="K958" s="212"/>
      <c r="L958" s="212"/>
      <c r="M958" s="212"/>
      <c r="R958" s="214"/>
      <c r="AB958" s="215"/>
      <c r="AG958" s="215"/>
      <c r="AJ958" s="215"/>
    </row>
    <row r="959" spans="1:36" s="213" customFormat="1" x14ac:dyDescent="0.25">
      <c r="A959" s="212"/>
      <c r="C959" s="212"/>
      <c r="K959" s="212"/>
      <c r="L959" s="212"/>
      <c r="M959" s="212"/>
      <c r="R959" s="214"/>
      <c r="AB959" s="215"/>
      <c r="AG959" s="215"/>
      <c r="AJ959" s="215"/>
    </row>
    <row r="960" spans="1:36" s="213" customFormat="1" x14ac:dyDescent="0.25">
      <c r="A960" s="212"/>
      <c r="C960" s="212"/>
      <c r="K960" s="212"/>
      <c r="L960" s="212"/>
      <c r="M960" s="212"/>
      <c r="R960" s="214"/>
      <c r="AB960" s="215"/>
      <c r="AG960" s="215"/>
      <c r="AJ960" s="215"/>
    </row>
    <row r="961" spans="1:36" s="213" customFormat="1" x14ac:dyDescent="0.25">
      <c r="A961" s="212"/>
      <c r="C961" s="212"/>
      <c r="K961" s="212"/>
      <c r="L961" s="212"/>
      <c r="M961" s="212"/>
      <c r="R961" s="214"/>
      <c r="AB961" s="215"/>
      <c r="AG961" s="215"/>
      <c r="AJ961" s="215"/>
    </row>
    <row r="962" spans="1:36" s="213" customFormat="1" x14ac:dyDescent="0.25">
      <c r="A962" s="212"/>
      <c r="C962" s="212"/>
      <c r="K962" s="212"/>
      <c r="L962" s="212"/>
      <c r="M962" s="212"/>
      <c r="R962" s="214"/>
      <c r="AB962" s="215"/>
      <c r="AG962" s="215"/>
      <c r="AJ962" s="215"/>
    </row>
    <row r="963" spans="1:36" s="213" customFormat="1" x14ac:dyDescent="0.25">
      <c r="A963" s="212"/>
      <c r="C963" s="212"/>
      <c r="K963" s="212"/>
      <c r="L963" s="212"/>
      <c r="M963" s="212"/>
      <c r="R963" s="214"/>
      <c r="AB963" s="215"/>
      <c r="AG963" s="215"/>
      <c r="AJ963" s="215"/>
    </row>
    <row r="964" spans="1:36" s="213" customFormat="1" x14ac:dyDescent="0.25">
      <c r="A964" s="212"/>
      <c r="C964" s="212"/>
      <c r="K964" s="212"/>
      <c r="L964" s="212"/>
      <c r="M964" s="212"/>
      <c r="R964" s="214"/>
      <c r="AB964" s="215"/>
      <c r="AG964" s="215"/>
      <c r="AJ964" s="215"/>
    </row>
    <row r="965" spans="1:36" s="213" customFormat="1" x14ac:dyDescent="0.25">
      <c r="A965" s="212"/>
      <c r="C965" s="212"/>
      <c r="K965" s="212"/>
      <c r="L965" s="212"/>
      <c r="M965" s="212"/>
      <c r="R965" s="214"/>
      <c r="AB965" s="215"/>
      <c r="AG965" s="215"/>
      <c r="AJ965" s="215"/>
    </row>
    <row r="966" spans="1:36" s="213" customFormat="1" x14ac:dyDescent="0.25">
      <c r="A966" s="212"/>
      <c r="C966" s="212"/>
      <c r="K966" s="212"/>
      <c r="L966" s="212"/>
      <c r="M966" s="212"/>
      <c r="R966" s="214"/>
      <c r="AB966" s="215"/>
      <c r="AG966" s="215"/>
      <c r="AJ966" s="215"/>
    </row>
    <row r="967" spans="1:36" s="213" customFormat="1" x14ac:dyDescent="0.25">
      <c r="A967" s="212"/>
      <c r="C967" s="212"/>
      <c r="K967" s="212"/>
      <c r="L967" s="212"/>
      <c r="M967" s="212"/>
      <c r="R967" s="214"/>
      <c r="AB967" s="215"/>
      <c r="AG967" s="215"/>
      <c r="AJ967" s="215"/>
    </row>
    <row r="968" spans="1:36" s="213" customFormat="1" x14ac:dyDescent="0.25">
      <c r="A968" s="212"/>
      <c r="C968" s="212"/>
      <c r="K968" s="212"/>
      <c r="L968" s="212"/>
      <c r="M968" s="212"/>
      <c r="R968" s="214"/>
      <c r="AB968" s="215"/>
      <c r="AG968" s="215"/>
      <c r="AJ968" s="215"/>
    </row>
    <row r="969" spans="1:36" s="213" customFormat="1" x14ac:dyDescent="0.25">
      <c r="A969" s="212"/>
      <c r="C969" s="212"/>
      <c r="K969" s="212"/>
      <c r="L969" s="212"/>
      <c r="M969" s="212"/>
      <c r="R969" s="214"/>
      <c r="AB969" s="215"/>
      <c r="AG969" s="215"/>
      <c r="AJ969" s="215"/>
    </row>
    <row r="970" spans="1:36" s="213" customFormat="1" x14ac:dyDescent="0.25">
      <c r="A970" s="212"/>
      <c r="C970" s="212"/>
      <c r="K970" s="212"/>
      <c r="L970" s="212"/>
      <c r="M970" s="212"/>
      <c r="R970" s="214"/>
      <c r="AB970" s="215"/>
      <c r="AG970" s="215"/>
      <c r="AJ970" s="215"/>
    </row>
    <row r="971" spans="1:36" s="213" customFormat="1" x14ac:dyDescent="0.25">
      <c r="A971" s="212"/>
      <c r="C971" s="212"/>
      <c r="K971" s="212"/>
      <c r="L971" s="212"/>
      <c r="M971" s="212"/>
      <c r="R971" s="214"/>
      <c r="AB971" s="215"/>
      <c r="AG971" s="215"/>
      <c r="AJ971" s="215"/>
    </row>
    <row r="972" spans="1:36" s="213" customFormat="1" x14ac:dyDescent="0.25">
      <c r="A972" s="212"/>
      <c r="C972" s="212"/>
      <c r="K972" s="212"/>
      <c r="L972" s="212"/>
      <c r="M972" s="212"/>
      <c r="R972" s="214"/>
      <c r="AB972" s="215"/>
      <c r="AG972" s="215"/>
      <c r="AJ972" s="215"/>
    </row>
    <row r="973" spans="1:36" s="213" customFormat="1" x14ac:dyDescent="0.25">
      <c r="A973" s="212"/>
      <c r="C973" s="212"/>
      <c r="K973" s="212"/>
      <c r="L973" s="212"/>
      <c r="M973" s="212"/>
      <c r="R973" s="214"/>
      <c r="AB973" s="215"/>
      <c r="AG973" s="215"/>
      <c r="AJ973" s="215"/>
    </row>
    <row r="974" spans="1:36" s="213" customFormat="1" x14ac:dyDescent="0.25">
      <c r="A974" s="212"/>
      <c r="C974" s="212"/>
      <c r="K974" s="212"/>
      <c r="L974" s="212"/>
      <c r="M974" s="212"/>
      <c r="R974" s="214"/>
      <c r="AB974" s="215"/>
      <c r="AG974" s="215"/>
      <c r="AJ974" s="215"/>
    </row>
    <row r="975" spans="1:36" s="213" customFormat="1" x14ac:dyDescent="0.25">
      <c r="A975" s="212"/>
      <c r="C975" s="212"/>
      <c r="K975" s="212"/>
      <c r="L975" s="212"/>
      <c r="M975" s="212"/>
      <c r="R975" s="214"/>
      <c r="AB975" s="215"/>
      <c r="AG975" s="215"/>
      <c r="AJ975" s="215"/>
    </row>
    <row r="976" spans="1:36" s="213" customFormat="1" x14ac:dyDescent="0.25">
      <c r="A976" s="212"/>
      <c r="C976" s="212"/>
      <c r="K976" s="212"/>
      <c r="L976" s="212"/>
      <c r="M976" s="212"/>
      <c r="R976" s="214"/>
      <c r="AB976" s="215"/>
      <c r="AG976" s="215"/>
      <c r="AJ976" s="215"/>
    </row>
    <row r="977" spans="1:36" s="213" customFormat="1" x14ac:dyDescent="0.25">
      <c r="A977" s="212"/>
      <c r="C977" s="212"/>
      <c r="K977" s="212"/>
      <c r="L977" s="212"/>
      <c r="M977" s="212"/>
      <c r="R977" s="214"/>
      <c r="AB977" s="215"/>
      <c r="AG977" s="215"/>
      <c r="AJ977" s="215"/>
    </row>
    <row r="978" spans="1:36" s="213" customFormat="1" x14ac:dyDescent="0.25">
      <c r="A978" s="212"/>
      <c r="C978" s="212"/>
      <c r="K978" s="212"/>
      <c r="L978" s="212"/>
      <c r="M978" s="212"/>
      <c r="R978" s="214"/>
      <c r="AB978" s="215"/>
      <c r="AG978" s="215"/>
      <c r="AJ978" s="215"/>
    </row>
    <row r="979" spans="1:36" s="213" customFormat="1" x14ac:dyDescent="0.25">
      <c r="A979" s="212"/>
      <c r="C979" s="212"/>
      <c r="K979" s="212"/>
      <c r="L979" s="212"/>
      <c r="M979" s="212"/>
      <c r="R979" s="214"/>
      <c r="AB979" s="215"/>
      <c r="AG979" s="215"/>
      <c r="AJ979" s="215"/>
    </row>
    <row r="980" spans="1:36" s="213" customFormat="1" x14ac:dyDescent="0.25">
      <c r="A980" s="212"/>
      <c r="C980" s="212"/>
      <c r="K980" s="212"/>
      <c r="L980" s="212"/>
      <c r="M980" s="212"/>
      <c r="R980" s="214"/>
      <c r="AB980" s="215"/>
      <c r="AG980" s="215"/>
      <c r="AJ980" s="215"/>
    </row>
    <row r="981" spans="1:36" s="213" customFormat="1" x14ac:dyDescent="0.25">
      <c r="A981" s="212"/>
      <c r="C981" s="212"/>
      <c r="K981" s="212"/>
      <c r="L981" s="212"/>
      <c r="M981" s="212"/>
      <c r="R981" s="214"/>
      <c r="AB981" s="215"/>
      <c r="AG981" s="215"/>
      <c r="AJ981" s="215"/>
    </row>
    <row r="982" spans="1:36" s="213" customFormat="1" x14ac:dyDescent="0.25">
      <c r="A982" s="212"/>
      <c r="C982" s="212"/>
      <c r="K982" s="212"/>
      <c r="L982" s="212"/>
      <c r="M982" s="212"/>
      <c r="R982" s="214"/>
      <c r="AB982" s="215"/>
      <c r="AG982" s="215"/>
      <c r="AJ982" s="215"/>
    </row>
    <row r="983" spans="1:36" s="213" customFormat="1" x14ac:dyDescent="0.25">
      <c r="A983" s="212"/>
      <c r="C983" s="212"/>
      <c r="K983" s="212"/>
      <c r="L983" s="212"/>
      <c r="M983" s="212"/>
      <c r="R983" s="214"/>
      <c r="AB983" s="215"/>
      <c r="AG983" s="215"/>
      <c r="AJ983" s="215"/>
    </row>
    <row r="984" spans="1:36" s="213" customFormat="1" x14ac:dyDescent="0.25">
      <c r="A984" s="212"/>
      <c r="C984" s="212"/>
      <c r="K984" s="212"/>
      <c r="L984" s="212"/>
      <c r="M984" s="212"/>
      <c r="R984" s="214"/>
      <c r="AB984" s="215"/>
      <c r="AG984" s="215"/>
      <c r="AJ984" s="215"/>
    </row>
    <row r="985" spans="1:36" s="213" customFormat="1" x14ac:dyDescent="0.25">
      <c r="A985" s="212"/>
      <c r="C985" s="212"/>
      <c r="K985" s="212"/>
      <c r="L985" s="212"/>
      <c r="M985" s="212"/>
      <c r="R985" s="214"/>
      <c r="AB985" s="215"/>
      <c r="AG985" s="215"/>
      <c r="AJ985" s="215"/>
    </row>
    <row r="986" spans="1:36" s="213" customFormat="1" x14ac:dyDescent="0.25">
      <c r="A986" s="212"/>
      <c r="C986" s="212"/>
      <c r="K986" s="212"/>
      <c r="L986" s="212"/>
      <c r="M986" s="212"/>
      <c r="R986" s="214"/>
      <c r="AB986" s="215"/>
      <c r="AG986" s="215"/>
      <c r="AJ986" s="215"/>
    </row>
    <row r="987" spans="1:36" s="213" customFormat="1" x14ac:dyDescent="0.25">
      <c r="A987" s="212"/>
      <c r="C987" s="212"/>
      <c r="K987" s="212"/>
      <c r="L987" s="212"/>
      <c r="M987" s="212"/>
      <c r="R987" s="214"/>
      <c r="AB987" s="215"/>
      <c r="AG987" s="215"/>
      <c r="AJ987" s="215"/>
    </row>
    <row r="988" spans="1:36" s="213" customFormat="1" x14ac:dyDescent="0.25">
      <c r="A988" s="212"/>
      <c r="C988" s="212"/>
      <c r="K988" s="212"/>
      <c r="L988" s="212"/>
      <c r="M988" s="212"/>
      <c r="R988" s="214"/>
      <c r="AB988" s="215"/>
      <c r="AG988" s="215"/>
      <c r="AJ988" s="215"/>
    </row>
    <row r="989" spans="1:36" s="213" customFormat="1" x14ac:dyDescent="0.25">
      <c r="A989" s="212"/>
      <c r="C989" s="212"/>
      <c r="K989" s="212"/>
      <c r="L989" s="212"/>
      <c r="M989" s="212"/>
      <c r="R989" s="214"/>
      <c r="AB989" s="215"/>
      <c r="AG989" s="215"/>
      <c r="AJ989" s="215"/>
    </row>
    <row r="990" spans="1:36" s="213" customFormat="1" x14ac:dyDescent="0.25">
      <c r="A990" s="212"/>
      <c r="C990" s="212"/>
      <c r="K990" s="212"/>
      <c r="L990" s="212"/>
      <c r="M990" s="212"/>
      <c r="R990" s="214"/>
      <c r="AB990" s="215"/>
      <c r="AG990" s="215"/>
      <c r="AJ990" s="215"/>
    </row>
    <row r="991" spans="1:36" s="213" customFormat="1" x14ac:dyDescent="0.25">
      <c r="A991" s="212"/>
      <c r="C991" s="212"/>
      <c r="K991" s="212"/>
      <c r="L991" s="212"/>
      <c r="M991" s="212"/>
      <c r="R991" s="214"/>
      <c r="AB991" s="215"/>
      <c r="AG991" s="215"/>
      <c r="AJ991" s="215"/>
    </row>
    <row r="992" spans="1:36" s="213" customFormat="1" x14ac:dyDescent="0.25">
      <c r="A992" s="212"/>
      <c r="C992" s="212"/>
      <c r="K992" s="212"/>
      <c r="L992" s="212"/>
      <c r="M992" s="212"/>
      <c r="R992" s="214"/>
      <c r="AB992" s="215"/>
      <c r="AG992" s="215"/>
      <c r="AJ992" s="215"/>
    </row>
    <row r="993" spans="1:36" s="213" customFormat="1" x14ac:dyDescent="0.25">
      <c r="A993" s="212"/>
      <c r="C993" s="212"/>
      <c r="K993" s="212"/>
      <c r="L993" s="212"/>
      <c r="M993" s="212"/>
      <c r="R993" s="214"/>
      <c r="AB993" s="215"/>
      <c r="AG993" s="215"/>
      <c r="AJ993" s="215"/>
    </row>
    <row r="994" spans="1:36" s="213" customFormat="1" x14ac:dyDescent="0.25">
      <c r="A994" s="212"/>
      <c r="C994" s="212"/>
      <c r="K994" s="212"/>
      <c r="L994" s="212"/>
      <c r="M994" s="212"/>
      <c r="R994" s="214"/>
      <c r="AB994" s="215"/>
      <c r="AG994" s="215"/>
      <c r="AJ994" s="215"/>
    </row>
    <row r="995" spans="1:36" s="213" customFormat="1" x14ac:dyDescent="0.25">
      <c r="A995" s="212"/>
      <c r="C995" s="212"/>
      <c r="K995" s="212"/>
      <c r="L995" s="212"/>
      <c r="M995" s="212"/>
      <c r="R995" s="214"/>
      <c r="AB995" s="215"/>
      <c r="AG995" s="215"/>
      <c r="AJ995" s="215"/>
    </row>
    <row r="996" spans="1:36" s="213" customFormat="1" x14ac:dyDescent="0.25">
      <c r="A996" s="212"/>
      <c r="C996" s="212"/>
      <c r="K996" s="212"/>
      <c r="L996" s="212"/>
      <c r="M996" s="212"/>
      <c r="R996" s="214"/>
      <c r="AB996" s="215"/>
      <c r="AG996" s="215"/>
      <c r="AJ996" s="215"/>
    </row>
    <row r="997" spans="1:36" s="213" customFormat="1" x14ac:dyDescent="0.25">
      <c r="A997" s="212"/>
      <c r="C997" s="212"/>
      <c r="K997" s="212"/>
      <c r="L997" s="212"/>
      <c r="M997" s="212"/>
      <c r="R997" s="214"/>
      <c r="AB997" s="215"/>
      <c r="AG997" s="215"/>
      <c r="AJ997" s="215"/>
    </row>
    <row r="998" spans="1:36" s="213" customFormat="1" x14ac:dyDescent="0.25">
      <c r="A998" s="212"/>
      <c r="C998" s="212"/>
      <c r="K998" s="212"/>
      <c r="L998" s="212"/>
      <c r="M998" s="212"/>
      <c r="R998" s="214"/>
      <c r="AB998" s="215"/>
      <c r="AG998" s="215"/>
      <c r="AJ998" s="215"/>
    </row>
    <row r="999" spans="1:36" s="213" customFormat="1" x14ac:dyDescent="0.25">
      <c r="A999" s="212"/>
      <c r="C999" s="212"/>
      <c r="K999" s="212"/>
      <c r="L999" s="212"/>
      <c r="M999" s="212"/>
      <c r="R999" s="214"/>
      <c r="AB999" s="215"/>
      <c r="AG999" s="215"/>
      <c r="AJ999" s="215"/>
    </row>
    <row r="1000" spans="1:36" s="213" customFormat="1" x14ac:dyDescent="0.25">
      <c r="A1000" s="212"/>
      <c r="C1000" s="212"/>
      <c r="K1000" s="212"/>
      <c r="L1000" s="212"/>
      <c r="M1000" s="212"/>
      <c r="R1000" s="214"/>
      <c r="AB1000" s="215"/>
      <c r="AG1000" s="215"/>
      <c r="AJ1000" s="215"/>
    </row>
    <row r="1001" spans="1:36" s="213" customFormat="1" x14ac:dyDescent="0.25">
      <c r="A1001" s="212"/>
      <c r="C1001" s="212"/>
      <c r="K1001" s="212"/>
      <c r="L1001" s="212"/>
      <c r="M1001" s="212"/>
      <c r="R1001" s="214"/>
      <c r="AB1001" s="215"/>
      <c r="AG1001" s="215"/>
      <c r="AJ1001" s="215"/>
    </row>
    <row r="1002" spans="1:36" s="213" customFormat="1" x14ac:dyDescent="0.25">
      <c r="A1002" s="212"/>
      <c r="C1002" s="212"/>
      <c r="K1002" s="212"/>
      <c r="L1002" s="212"/>
      <c r="M1002" s="212"/>
      <c r="R1002" s="214"/>
      <c r="AB1002" s="215"/>
      <c r="AG1002" s="215"/>
      <c r="AJ1002" s="215"/>
    </row>
    <row r="1003" spans="1:36" s="213" customFormat="1" x14ac:dyDescent="0.25">
      <c r="A1003" s="212"/>
      <c r="C1003" s="212"/>
      <c r="K1003" s="212"/>
      <c r="L1003" s="212"/>
      <c r="M1003" s="212"/>
      <c r="R1003" s="214"/>
      <c r="AB1003" s="215"/>
      <c r="AG1003" s="215"/>
      <c r="AJ1003" s="215"/>
    </row>
    <row r="1004" spans="1:36" s="213" customFormat="1" x14ac:dyDescent="0.25">
      <c r="A1004" s="212"/>
      <c r="C1004" s="212"/>
      <c r="K1004" s="212"/>
      <c r="L1004" s="212"/>
      <c r="M1004" s="212"/>
      <c r="R1004" s="214"/>
      <c r="AB1004" s="215"/>
      <c r="AG1004" s="215"/>
      <c r="AJ1004" s="215"/>
    </row>
    <row r="1005" spans="1:36" s="213" customFormat="1" x14ac:dyDescent="0.25">
      <c r="A1005" s="212"/>
      <c r="C1005" s="212"/>
      <c r="K1005" s="212"/>
      <c r="L1005" s="212"/>
      <c r="M1005" s="212"/>
      <c r="R1005" s="214"/>
      <c r="AB1005" s="215"/>
      <c r="AG1005" s="215"/>
      <c r="AJ1005" s="215"/>
    </row>
    <row r="1006" spans="1:36" s="213" customFormat="1" x14ac:dyDescent="0.25">
      <c r="A1006" s="212"/>
      <c r="C1006" s="212"/>
      <c r="K1006" s="212"/>
      <c r="L1006" s="212"/>
      <c r="M1006" s="212"/>
      <c r="R1006" s="214"/>
      <c r="AB1006" s="215"/>
      <c r="AG1006" s="215"/>
      <c r="AJ1006" s="215"/>
    </row>
    <row r="1007" spans="1:36" s="213" customFormat="1" x14ac:dyDescent="0.25">
      <c r="A1007" s="212"/>
      <c r="C1007" s="212"/>
      <c r="K1007" s="212"/>
      <c r="L1007" s="212"/>
      <c r="M1007" s="212"/>
      <c r="R1007" s="214"/>
      <c r="AB1007" s="215"/>
      <c r="AG1007" s="215"/>
      <c r="AJ1007" s="215"/>
    </row>
    <row r="1008" spans="1:36" s="213" customFormat="1" x14ac:dyDescent="0.25">
      <c r="A1008" s="212"/>
      <c r="C1008" s="212"/>
      <c r="K1008" s="212"/>
      <c r="L1008" s="212"/>
      <c r="M1008" s="212"/>
      <c r="R1008" s="214"/>
      <c r="AB1008" s="215"/>
      <c r="AG1008" s="215"/>
      <c r="AJ1008" s="215"/>
    </row>
    <row r="1009" spans="1:36" s="213" customFormat="1" x14ac:dyDescent="0.25">
      <c r="A1009" s="212"/>
      <c r="C1009" s="212"/>
      <c r="K1009" s="212"/>
      <c r="L1009" s="212"/>
      <c r="M1009" s="212"/>
      <c r="R1009" s="214"/>
      <c r="AB1009" s="215"/>
      <c r="AG1009" s="215"/>
      <c r="AJ1009" s="215"/>
    </row>
    <row r="1010" spans="1:36" s="213" customFormat="1" x14ac:dyDescent="0.25">
      <c r="A1010" s="212"/>
      <c r="C1010" s="212"/>
      <c r="K1010" s="212"/>
      <c r="L1010" s="212"/>
      <c r="M1010" s="212"/>
      <c r="R1010" s="214"/>
      <c r="AB1010" s="215"/>
      <c r="AG1010" s="215"/>
      <c r="AJ1010" s="215"/>
    </row>
    <row r="1011" spans="1:36" s="213" customFormat="1" x14ac:dyDescent="0.25">
      <c r="A1011" s="212"/>
      <c r="C1011" s="212"/>
      <c r="K1011" s="212"/>
      <c r="L1011" s="212"/>
      <c r="M1011" s="212"/>
      <c r="R1011" s="214"/>
      <c r="AB1011" s="215"/>
      <c r="AG1011" s="215"/>
      <c r="AJ1011" s="215"/>
    </row>
    <row r="1012" spans="1:36" s="213" customFormat="1" x14ac:dyDescent="0.25">
      <c r="A1012" s="212"/>
      <c r="C1012" s="212"/>
      <c r="K1012" s="212"/>
      <c r="L1012" s="212"/>
      <c r="M1012" s="212"/>
      <c r="R1012" s="214"/>
      <c r="AB1012" s="215"/>
      <c r="AG1012" s="215"/>
      <c r="AJ1012" s="215"/>
    </row>
    <row r="1013" spans="1:36" s="213" customFormat="1" x14ac:dyDescent="0.25">
      <c r="A1013" s="212"/>
      <c r="C1013" s="212"/>
      <c r="K1013" s="212"/>
      <c r="L1013" s="212"/>
      <c r="M1013" s="212"/>
      <c r="R1013" s="214"/>
      <c r="AB1013" s="215"/>
      <c r="AG1013" s="215"/>
      <c r="AJ1013" s="215"/>
    </row>
    <row r="1014" spans="1:36" s="213" customFormat="1" x14ac:dyDescent="0.25">
      <c r="A1014" s="212"/>
      <c r="C1014" s="212"/>
      <c r="K1014" s="212"/>
      <c r="L1014" s="212"/>
      <c r="M1014" s="212"/>
      <c r="R1014" s="214"/>
      <c r="AB1014" s="215"/>
      <c r="AG1014" s="215"/>
      <c r="AJ1014" s="215"/>
    </row>
    <row r="1015" spans="1:36" s="213" customFormat="1" x14ac:dyDescent="0.25">
      <c r="A1015" s="212"/>
      <c r="C1015" s="212"/>
      <c r="K1015" s="212"/>
      <c r="L1015" s="212"/>
      <c r="M1015" s="212"/>
      <c r="R1015" s="214"/>
      <c r="AB1015" s="215"/>
      <c r="AG1015" s="215"/>
      <c r="AJ1015" s="215"/>
    </row>
    <row r="1016" spans="1:36" s="213" customFormat="1" x14ac:dyDescent="0.25">
      <c r="A1016" s="212"/>
      <c r="C1016" s="212"/>
      <c r="K1016" s="212"/>
      <c r="L1016" s="212"/>
      <c r="M1016" s="212"/>
      <c r="R1016" s="214"/>
      <c r="AB1016" s="215"/>
      <c r="AG1016" s="215"/>
      <c r="AJ1016" s="215"/>
    </row>
    <row r="1017" spans="1:36" s="213" customFormat="1" x14ac:dyDescent="0.25">
      <c r="A1017" s="212"/>
      <c r="C1017" s="212"/>
      <c r="K1017" s="212"/>
      <c r="L1017" s="212"/>
      <c r="M1017" s="212"/>
      <c r="R1017" s="214"/>
      <c r="AB1017" s="215"/>
      <c r="AG1017" s="215"/>
      <c r="AJ1017" s="215"/>
    </row>
    <row r="1018" spans="1:36" s="213" customFormat="1" x14ac:dyDescent="0.25">
      <c r="A1018" s="212"/>
      <c r="C1018" s="212"/>
      <c r="K1018" s="212"/>
      <c r="L1018" s="212"/>
      <c r="M1018" s="212"/>
      <c r="R1018" s="214"/>
      <c r="AB1018" s="215"/>
      <c r="AG1018" s="215"/>
      <c r="AJ1018" s="215"/>
    </row>
    <row r="1019" spans="1:36" s="213" customFormat="1" x14ac:dyDescent="0.25">
      <c r="A1019" s="212"/>
      <c r="C1019" s="212"/>
      <c r="K1019" s="212"/>
      <c r="L1019" s="212"/>
      <c r="M1019" s="212"/>
      <c r="R1019" s="214"/>
      <c r="AB1019" s="215"/>
      <c r="AG1019" s="215"/>
      <c r="AJ1019" s="215"/>
    </row>
    <row r="1020" spans="1:36" s="213" customFormat="1" x14ac:dyDescent="0.25">
      <c r="A1020" s="212"/>
      <c r="C1020" s="212"/>
      <c r="K1020" s="212"/>
      <c r="L1020" s="212"/>
      <c r="M1020" s="212"/>
      <c r="R1020" s="214"/>
      <c r="AB1020" s="215"/>
      <c r="AG1020" s="215"/>
      <c r="AJ1020" s="215"/>
    </row>
    <row r="1021" spans="1:36" s="213" customFormat="1" x14ac:dyDescent="0.25">
      <c r="A1021" s="212"/>
      <c r="C1021" s="212"/>
      <c r="K1021" s="212"/>
      <c r="L1021" s="212"/>
      <c r="M1021" s="212"/>
      <c r="R1021" s="214"/>
      <c r="AB1021" s="215"/>
      <c r="AG1021" s="215"/>
      <c r="AJ1021" s="215"/>
    </row>
    <row r="1022" spans="1:36" s="213" customFormat="1" x14ac:dyDescent="0.25">
      <c r="A1022" s="212"/>
      <c r="C1022" s="212"/>
      <c r="K1022" s="212"/>
      <c r="L1022" s="212"/>
      <c r="M1022" s="212"/>
      <c r="R1022" s="214"/>
      <c r="AB1022" s="215"/>
      <c r="AG1022" s="215"/>
      <c r="AJ1022" s="215"/>
    </row>
    <row r="1023" spans="1:36" s="213" customFormat="1" x14ac:dyDescent="0.25">
      <c r="A1023" s="212"/>
      <c r="C1023" s="212"/>
      <c r="K1023" s="212"/>
      <c r="L1023" s="212"/>
      <c r="M1023" s="212"/>
      <c r="R1023" s="214"/>
      <c r="AB1023" s="215"/>
      <c r="AG1023" s="215"/>
      <c r="AJ1023" s="215"/>
    </row>
    <row r="1024" spans="1:36" s="213" customFormat="1" x14ac:dyDescent="0.25">
      <c r="A1024" s="212"/>
      <c r="C1024" s="212"/>
      <c r="K1024" s="212"/>
      <c r="L1024" s="212"/>
      <c r="M1024" s="212"/>
      <c r="R1024" s="214"/>
      <c r="AB1024" s="215"/>
      <c r="AG1024" s="215"/>
      <c r="AJ1024" s="215"/>
    </row>
    <row r="1025" spans="1:36" s="213" customFormat="1" x14ac:dyDescent="0.25">
      <c r="A1025" s="212"/>
      <c r="C1025" s="212"/>
      <c r="K1025" s="212"/>
      <c r="L1025" s="212"/>
      <c r="M1025" s="212"/>
      <c r="R1025" s="214"/>
      <c r="AB1025" s="215"/>
      <c r="AG1025" s="215"/>
      <c r="AJ1025" s="215"/>
    </row>
    <row r="1026" spans="1:36" s="213" customFormat="1" x14ac:dyDescent="0.25">
      <c r="A1026" s="212"/>
      <c r="C1026" s="212"/>
      <c r="K1026" s="212"/>
      <c r="L1026" s="212"/>
      <c r="M1026" s="212"/>
      <c r="R1026" s="214"/>
      <c r="AB1026" s="215"/>
      <c r="AG1026" s="215"/>
      <c r="AJ1026" s="215"/>
    </row>
    <row r="1027" spans="1:36" s="213" customFormat="1" x14ac:dyDescent="0.25">
      <c r="A1027" s="212"/>
      <c r="C1027" s="212"/>
      <c r="K1027" s="212"/>
      <c r="L1027" s="212"/>
      <c r="M1027" s="212"/>
      <c r="R1027" s="214"/>
      <c r="AB1027" s="215"/>
      <c r="AG1027" s="215"/>
      <c r="AJ1027" s="215"/>
    </row>
    <row r="1028" spans="1:36" s="213" customFormat="1" x14ac:dyDescent="0.25">
      <c r="A1028" s="212"/>
      <c r="C1028" s="212"/>
      <c r="K1028" s="212"/>
      <c r="L1028" s="212"/>
      <c r="M1028" s="212"/>
      <c r="R1028" s="214"/>
      <c r="AB1028" s="215"/>
      <c r="AG1028" s="215"/>
      <c r="AJ1028" s="215"/>
    </row>
    <row r="1029" spans="1:36" s="213" customFormat="1" x14ac:dyDescent="0.25">
      <c r="A1029" s="212"/>
      <c r="C1029" s="212"/>
      <c r="K1029" s="212"/>
      <c r="L1029" s="212"/>
      <c r="M1029" s="212"/>
      <c r="R1029" s="214"/>
      <c r="AB1029" s="215"/>
      <c r="AG1029" s="215"/>
      <c r="AJ1029" s="215"/>
    </row>
    <row r="1030" spans="1:36" s="213" customFormat="1" x14ac:dyDescent="0.25">
      <c r="A1030" s="212"/>
      <c r="C1030" s="212"/>
      <c r="K1030" s="212"/>
      <c r="L1030" s="212"/>
      <c r="M1030" s="212"/>
      <c r="R1030" s="214"/>
      <c r="AB1030" s="215"/>
      <c r="AG1030" s="215"/>
      <c r="AJ1030" s="215"/>
    </row>
    <row r="1031" spans="1:36" s="213" customFormat="1" x14ac:dyDescent="0.25">
      <c r="A1031" s="212"/>
      <c r="C1031" s="212"/>
      <c r="K1031" s="212"/>
      <c r="L1031" s="212"/>
      <c r="M1031" s="212"/>
      <c r="R1031" s="214"/>
      <c r="AB1031" s="215"/>
      <c r="AG1031" s="215"/>
      <c r="AJ1031" s="215"/>
    </row>
    <row r="1032" spans="1:36" s="213" customFormat="1" x14ac:dyDescent="0.25">
      <c r="A1032" s="212"/>
      <c r="C1032" s="212"/>
      <c r="K1032" s="212"/>
      <c r="L1032" s="212"/>
      <c r="M1032" s="212"/>
      <c r="R1032" s="214"/>
      <c r="AB1032" s="215"/>
      <c r="AG1032" s="215"/>
      <c r="AJ1032" s="215"/>
    </row>
    <row r="1033" spans="1:36" s="213" customFormat="1" x14ac:dyDescent="0.25">
      <c r="A1033" s="212"/>
      <c r="C1033" s="212"/>
      <c r="K1033" s="212"/>
      <c r="L1033" s="212"/>
      <c r="M1033" s="212"/>
      <c r="R1033" s="214"/>
      <c r="AB1033" s="215"/>
      <c r="AG1033" s="215"/>
      <c r="AJ1033" s="215"/>
    </row>
    <row r="1034" spans="1:36" s="213" customFormat="1" x14ac:dyDescent="0.25">
      <c r="A1034" s="212"/>
      <c r="C1034" s="212"/>
      <c r="K1034" s="212"/>
      <c r="L1034" s="212"/>
      <c r="M1034" s="212"/>
      <c r="R1034" s="214"/>
      <c r="AB1034" s="215"/>
      <c r="AG1034" s="215"/>
      <c r="AJ1034" s="215"/>
    </row>
    <row r="1035" spans="1:36" s="213" customFormat="1" x14ac:dyDescent="0.25">
      <c r="A1035" s="212"/>
      <c r="C1035" s="212"/>
      <c r="K1035" s="212"/>
      <c r="L1035" s="212"/>
      <c r="M1035" s="212"/>
      <c r="R1035" s="214"/>
      <c r="AB1035" s="215"/>
      <c r="AG1035" s="215"/>
      <c r="AJ1035" s="215"/>
    </row>
    <row r="1036" spans="1:36" s="213" customFormat="1" x14ac:dyDescent="0.25">
      <c r="A1036" s="212"/>
      <c r="C1036" s="212"/>
      <c r="K1036" s="212"/>
      <c r="L1036" s="212"/>
      <c r="M1036" s="212"/>
      <c r="R1036" s="214"/>
      <c r="AB1036" s="215"/>
      <c r="AG1036" s="215"/>
      <c r="AJ1036" s="215"/>
    </row>
    <row r="1037" spans="1:36" s="213" customFormat="1" x14ac:dyDescent="0.25">
      <c r="A1037" s="212"/>
      <c r="C1037" s="212"/>
      <c r="K1037" s="212"/>
      <c r="L1037" s="212"/>
      <c r="M1037" s="212"/>
      <c r="R1037" s="214"/>
      <c r="AB1037" s="215"/>
      <c r="AG1037" s="215"/>
      <c r="AJ1037" s="215"/>
    </row>
    <row r="1038" spans="1:36" s="213" customFormat="1" x14ac:dyDescent="0.25">
      <c r="A1038" s="212"/>
      <c r="C1038" s="212"/>
      <c r="K1038" s="212"/>
      <c r="L1038" s="212"/>
      <c r="M1038" s="212"/>
      <c r="R1038" s="214"/>
      <c r="AB1038" s="215"/>
      <c r="AG1038" s="215"/>
      <c r="AJ1038" s="215"/>
    </row>
    <row r="1039" spans="1:36" s="213" customFormat="1" x14ac:dyDescent="0.25">
      <c r="A1039" s="212"/>
      <c r="C1039" s="212"/>
      <c r="K1039" s="212"/>
      <c r="L1039" s="212"/>
      <c r="M1039" s="212"/>
      <c r="R1039" s="214"/>
      <c r="AB1039" s="215"/>
      <c r="AG1039" s="215"/>
      <c r="AJ1039" s="215"/>
    </row>
    <row r="1040" spans="1:36" s="213" customFormat="1" x14ac:dyDescent="0.25">
      <c r="A1040" s="212"/>
      <c r="C1040" s="212"/>
      <c r="K1040" s="212"/>
      <c r="L1040" s="212"/>
      <c r="M1040" s="212"/>
      <c r="R1040" s="214"/>
      <c r="AB1040" s="215"/>
      <c r="AG1040" s="215"/>
      <c r="AJ1040" s="215"/>
    </row>
    <row r="1041" spans="1:36" s="213" customFormat="1" x14ac:dyDescent="0.25">
      <c r="A1041" s="212"/>
      <c r="C1041" s="212"/>
      <c r="K1041" s="212"/>
      <c r="L1041" s="212"/>
      <c r="M1041" s="212"/>
      <c r="R1041" s="214"/>
      <c r="AB1041" s="215"/>
      <c r="AG1041" s="215"/>
      <c r="AJ1041" s="215"/>
    </row>
    <row r="1042" spans="1:36" s="213" customFormat="1" x14ac:dyDescent="0.25">
      <c r="A1042" s="212"/>
      <c r="C1042" s="212"/>
      <c r="K1042" s="212"/>
      <c r="L1042" s="212"/>
      <c r="M1042" s="212"/>
      <c r="R1042" s="214"/>
      <c r="AB1042" s="215"/>
      <c r="AG1042" s="215"/>
      <c r="AJ1042" s="215"/>
    </row>
    <row r="1043" spans="1:36" s="213" customFormat="1" x14ac:dyDescent="0.25">
      <c r="A1043" s="212"/>
      <c r="C1043" s="212"/>
      <c r="K1043" s="212"/>
      <c r="L1043" s="212"/>
      <c r="M1043" s="212"/>
      <c r="R1043" s="214"/>
      <c r="AB1043" s="215"/>
      <c r="AG1043" s="215"/>
      <c r="AJ1043" s="215"/>
    </row>
    <row r="1044" spans="1:36" s="213" customFormat="1" x14ac:dyDescent="0.25">
      <c r="A1044" s="212"/>
      <c r="C1044" s="212"/>
      <c r="K1044" s="212"/>
      <c r="L1044" s="212"/>
      <c r="M1044" s="212"/>
      <c r="R1044" s="214"/>
      <c r="AB1044" s="215"/>
      <c r="AG1044" s="215"/>
      <c r="AJ1044" s="215"/>
    </row>
    <row r="1045" spans="1:36" s="213" customFormat="1" x14ac:dyDescent="0.25">
      <c r="A1045" s="212"/>
      <c r="C1045" s="212"/>
      <c r="K1045" s="212"/>
      <c r="L1045" s="212"/>
      <c r="M1045" s="212"/>
      <c r="R1045" s="214"/>
      <c r="AB1045" s="215"/>
      <c r="AG1045" s="215"/>
      <c r="AJ1045" s="215"/>
    </row>
    <row r="1046" spans="1:36" s="213" customFormat="1" x14ac:dyDescent="0.25">
      <c r="A1046" s="212"/>
      <c r="C1046" s="212"/>
      <c r="K1046" s="212"/>
      <c r="L1046" s="212"/>
      <c r="M1046" s="212"/>
      <c r="R1046" s="214"/>
      <c r="AB1046" s="215"/>
      <c r="AG1046" s="215"/>
      <c r="AJ1046" s="215"/>
    </row>
    <row r="1047" spans="1:36" s="213" customFormat="1" x14ac:dyDescent="0.25">
      <c r="A1047" s="212"/>
      <c r="C1047" s="212"/>
      <c r="K1047" s="212"/>
      <c r="L1047" s="212"/>
      <c r="M1047" s="212"/>
      <c r="R1047" s="214"/>
      <c r="AB1047" s="215"/>
      <c r="AG1047" s="215"/>
      <c r="AJ1047" s="215"/>
    </row>
    <row r="1048" spans="1:36" s="213" customFormat="1" x14ac:dyDescent="0.25">
      <c r="A1048" s="212"/>
      <c r="C1048" s="212"/>
      <c r="K1048" s="212"/>
      <c r="L1048" s="212"/>
      <c r="M1048" s="212"/>
      <c r="R1048" s="214"/>
      <c r="AB1048" s="215"/>
      <c r="AG1048" s="215"/>
      <c r="AJ1048" s="215"/>
    </row>
    <row r="1049" spans="1:36" s="213" customFormat="1" x14ac:dyDescent="0.25">
      <c r="A1049" s="212"/>
      <c r="C1049" s="212"/>
      <c r="K1049" s="212"/>
      <c r="L1049" s="212"/>
      <c r="M1049" s="212"/>
      <c r="R1049" s="214"/>
      <c r="AB1049" s="215"/>
      <c r="AG1049" s="215"/>
      <c r="AJ1049" s="215"/>
    </row>
    <row r="1050" spans="1:36" s="213" customFormat="1" x14ac:dyDescent="0.25">
      <c r="A1050" s="212"/>
      <c r="C1050" s="212"/>
      <c r="K1050" s="212"/>
      <c r="L1050" s="212"/>
      <c r="M1050" s="212"/>
      <c r="R1050" s="214"/>
      <c r="AB1050" s="215"/>
      <c r="AG1050" s="215"/>
      <c r="AJ1050" s="215"/>
    </row>
    <row r="1051" spans="1:36" s="213" customFormat="1" x14ac:dyDescent="0.25">
      <c r="A1051" s="212"/>
      <c r="C1051" s="212"/>
      <c r="K1051" s="212"/>
      <c r="L1051" s="212"/>
      <c r="M1051" s="212"/>
      <c r="R1051" s="214"/>
      <c r="AB1051" s="215"/>
      <c r="AG1051" s="215"/>
      <c r="AJ1051" s="215"/>
    </row>
    <row r="1052" spans="1:36" s="213" customFormat="1" x14ac:dyDescent="0.25">
      <c r="A1052" s="212"/>
      <c r="C1052" s="212"/>
      <c r="K1052" s="212"/>
      <c r="L1052" s="212"/>
      <c r="M1052" s="212"/>
      <c r="R1052" s="214"/>
      <c r="AB1052" s="215"/>
      <c r="AG1052" s="215"/>
      <c r="AJ1052" s="215"/>
    </row>
    <row r="1053" spans="1:36" s="213" customFormat="1" x14ac:dyDescent="0.25">
      <c r="A1053" s="212"/>
      <c r="C1053" s="212"/>
      <c r="K1053" s="212"/>
      <c r="L1053" s="212"/>
      <c r="M1053" s="212"/>
      <c r="R1053" s="214"/>
      <c r="AB1053" s="215"/>
      <c r="AG1053" s="215"/>
      <c r="AJ1053" s="215"/>
    </row>
    <row r="1054" spans="1:36" s="213" customFormat="1" x14ac:dyDescent="0.25">
      <c r="A1054" s="212"/>
      <c r="C1054" s="212"/>
      <c r="K1054" s="212"/>
      <c r="L1054" s="212"/>
      <c r="M1054" s="212"/>
      <c r="R1054" s="214"/>
      <c r="AB1054" s="215"/>
      <c r="AG1054" s="215"/>
      <c r="AJ1054" s="215"/>
    </row>
    <row r="1055" spans="1:36" s="213" customFormat="1" x14ac:dyDescent="0.25">
      <c r="A1055" s="212"/>
      <c r="C1055" s="212"/>
      <c r="K1055" s="212"/>
      <c r="L1055" s="212"/>
      <c r="M1055" s="212"/>
      <c r="R1055" s="214"/>
      <c r="AB1055" s="215"/>
      <c r="AG1055" s="215"/>
      <c r="AJ1055" s="215"/>
    </row>
    <row r="1056" spans="1:36" s="213" customFormat="1" x14ac:dyDescent="0.25">
      <c r="A1056" s="212"/>
      <c r="C1056" s="212"/>
      <c r="K1056" s="212"/>
      <c r="L1056" s="212"/>
      <c r="M1056" s="212"/>
      <c r="R1056" s="214"/>
      <c r="AB1056" s="215"/>
      <c r="AG1056" s="215"/>
      <c r="AJ1056" s="215"/>
    </row>
    <row r="1057" spans="1:36" s="213" customFormat="1" x14ac:dyDescent="0.25">
      <c r="A1057" s="212"/>
      <c r="C1057" s="212"/>
      <c r="K1057" s="212"/>
      <c r="L1057" s="212"/>
      <c r="M1057" s="212"/>
      <c r="R1057" s="214"/>
      <c r="AB1057" s="215"/>
      <c r="AG1057" s="215"/>
      <c r="AJ1057" s="215"/>
    </row>
    <row r="1058" spans="1:36" s="213" customFormat="1" x14ac:dyDescent="0.25">
      <c r="A1058" s="212"/>
      <c r="C1058" s="212"/>
      <c r="K1058" s="212"/>
      <c r="L1058" s="212"/>
      <c r="M1058" s="212"/>
      <c r="R1058" s="214"/>
      <c r="AB1058" s="215"/>
      <c r="AG1058" s="215"/>
      <c r="AJ1058" s="215"/>
    </row>
    <row r="1059" spans="1:36" s="213" customFormat="1" x14ac:dyDescent="0.25">
      <c r="A1059" s="212"/>
      <c r="C1059" s="212"/>
      <c r="K1059" s="212"/>
      <c r="L1059" s="212"/>
      <c r="M1059" s="212"/>
      <c r="R1059" s="214"/>
      <c r="AB1059" s="215"/>
      <c r="AG1059" s="215"/>
      <c r="AJ1059" s="215"/>
    </row>
    <row r="1060" spans="1:36" s="213" customFormat="1" x14ac:dyDescent="0.25">
      <c r="A1060" s="212"/>
      <c r="C1060" s="212"/>
      <c r="K1060" s="212"/>
      <c r="L1060" s="212"/>
      <c r="M1060" s="212"/>
      <c r="R1060" s="214"/>
      <c r="AB1060" s="215"/>
      <c r="AG1060" s="215"/>
      <c r="AJ1060" s="215"/>
    </row>
    <row r="1061" spans="1:36" s="213" customFormat="1" x14ac:dyDescent="0.25">
      <c r="A1061" s="212"/>
      <c r="C1061" s="212"/>
      <c r="K1061" s="212"/>
      <c r="L1061" s="212"/>
      <c r="M1061" s="212"/>
      <c r="R1061" s="214"/>
      <c r="AB1061" s="215"/>
      <c r="AG1061" s="215"/>
      <c r="AJ1061" s="215"/>
    </row>
    <row r="1062" spans="1:36" s="213" customFormat="1" x14ac:dyDescent="0.25">
      <c r="A1062" s="212"/>
      <c r="C1062" s="212"/>
      <c r="K1062" s="212"/>
      <c r="L1062" s="212"/>
      <c r="M1062" s="212"/>
      <c r="R1062" s="214"/>
      <c r="AB1062" s="215"/>
      <c r="AG1062" s="215"/>
      <c r="AJ1062" s="215"/>
    </row>
    <row r="1063" spans="1:36" s="213" customFormat="1" x14ac:dyDescent="0.25">
      <c r="A1063" s="212"/>
      <c r="C1063" s="212"/>
      <c r="K1063" s="212"/>
      <c r="L1063" s="212"/>
      <c r="M1063" s="212"/>
      <c r="R1063" s="214"/>
      <c r="AB1063" s="215"/>
      <c r="AG1063" s="215"/>
      <c r="AJ1063" s="215"/>
    </row>
    <row r="1064" spans="1:36" s="213" customFormat="1" x14ac:dyDescent="0.25">
      <c r="A1064" s="212"/>
      <c r="C1064" s="212"/>
      <c r="K1064" s="212"/>
      <c r="L1064" s="212"/>
      <c r="M1064" s="212"/>
      <c r="R1064" s="214"/>
      <c r="AB1064" s="215"/>
      <c r="AG1064" s="215"/>
      <c r="AJ1064" s="215"/>
    </row>
    <row r="1065" spans="1:36" s="213" customFormat="1" x14ac:dyDescent="0.25">
      <c r="A1065" s="212"/>
      <c r="C1065" s="212"/>
      <c r="K1065" s="212"/>
      <c r="L1065" s="212"/>
      <c r="M1065" s="212"/>
      <c r="R1065" s="214"/>
      <c r="AB1065" s="215"/>
      <c r="AG1065" s="215"/>
      <c r="AJ1065" s="215"/>
    </row>
    <row r="1066" spans="1:36" s="213" customFormat="1" x14ac:dyDescent="0.25">
      <c r="A1066" s="212"/>
      <c r="C1066" s="212"/>
      <c r="K1066" s="212"/>
      <c r="L1066" s="212"/>
      <c r="M1066" s="212"/>
      <c r="R1066" s="214"/>
      <c r="AB1066" s="215"/>
      <c r="AG1066" s="215"/>
      <c r="AJ1066" s="215"/>
    </row>
    <row r="1067" spans="1:36" s="213" customFormat="1" x14ac:dyDescent="0.25">
      <c r="A1067" s="212"/>
      <c r="C1067" s="212"/>
      <c r="K1067" s="212"/>
      <c r="L1067" s="212"/>
      <c r="M1067" s="212"/>
      <c r="R1067" s="214"/>
      <c r="AB1067" s="215"/>
      <c r="AG1067" s="215"/>
      <c r="AJ1067" s="215"/>
    </row>
    <row r="1068" spans="1:36" s="213" customFormat="1" x14ac:dyDescent="0.25">
      <c r="A1068" s="212"/>
      <c r="C1068" s="212"/>
      <c r="K1068" s="212"/>
      <c r="L1068" s="212"/>
      <c r="M1068" s="212"/>
      <c r="R1068" s="214"/>
      <c r="AB1068" s="215"/>
      <c r="AG1068" s="215"/>
      <c r="AJ1068" s="215"/>
    </row>
    <row r="1069" spans="1:36" s="213" customFormat="1" x14ac:dyDescent="0.25">
      <c r="A1069" s="212"/>
      <c r="C1069" s="212"/>
      <c r="K1069" s="212"/>
      <c r="L1069" s="212"/>
      <c r="M1069" s="212"/>
      <c r="R1069" s="214"/>
      <c r="AB1069" s="215"/>
      <c r="AG1069" s="215"/>
      <c r="AJ1069" s="215"/>
    </row>
    <row r="1070" spans="1:36" s="213" customFormat="1" x14ac:dyDescent="0.25">
      <c r="A1070" s="212"/>
      <c r="C1070" s="212"/>
      <c r="K1070" s="212"/>
      <c r="L1070" s="212"/>
      <c r="M1070" s="212"/>
      <c r="R1070" s="214"/>
      <c r="AB1070" s="215"/>
      <c r="AG1070" s="215"/>
      <c r="AJ1070" s="215"/>
    </row>
    <row r="1071" spans="1:36" s="213" customFormat="1" x14ac:dyDescent="0.25">
      <c r="A1071" s="212"/>
      <c r="C1071" s="212"/>
      <c r="K1071" s="212"/>
      <c r="L1071" s="212"/>
      <c r="M1071" s="212"/>
      <c r="R1071" s="214"/>
      <c r="AB1071" s="215"/>
      <c r="AG1071" s="215"/>
      <c r="AJ1071" s="215"/>
    </row>
    <row r="1072" spans="1:36" s="213" customFormat="1" x14ac:dyDescent="0.25">
      <c r="A1072" s="212"/>
      <c r="C1072" s="212"/>
      <c r="K1072" s="212"/>
      <c r="L1072" s="212"/>
      <c r="M1072" s="212"/>
      <c r="R1072" s="214"/>
      <c r="AB1072" s="215"/>
      <c r="AG1072" s="215"/>
      <c r="AJ1072" s="215"/>
    </row>
    <row r="1073" spans="1:36" s="213" customFormat="1" x14ac:dyDescent="0.25">
      <c r="A1073" s="212"/>
      <c r="C1073" s="212"/>
      <c r="K1073" s="212"/>
      <c r="L1073" s="212"/>
      <c r="M1073" s="212"/>
      <c r="R1073" s="214"/>
      <c r="AB1073" s="215"/>
      <c r="AG1073" s="215"/>
      <c r="AJ1073" s="215"/>
    </row>
    <row r="1074" spans="1:36" s="213" customFormat="1" x14ac:dyDescent="0.25">
      <c r="A1074" s="212"/>
      <c r="C1074" s="212"/>
      <c r="K1074" s="212"/>
      <c r="L1074" s="212"/>
      <c r="M1074" s="212"/>
      <c r="R1074" s="214"/>
      <c r="AB1074" s="215"/>
      <c r="AG1074" s="215"/>
      <c r="AJ1074" s="215"/>
    </row>
    <row r="1075" spans="1:36" s="213" customFormat="1" x14ac:dyDescent="0.25">
      <c r="A1075" s="212"/>
      <c r="C1075" s="212"/>
      <c r="K1075" s="212"/>
      <c r="L1075" s="212"/>
      <c r="M1075" s="212"/>
      <c r="R1075" s="214"/>
      <c r="AB1075" s="215"/>
      <c r="AG1075" s="215"/>
      <c r="AJ1075" s="215"/>
    </row>
    <row r="1076" spans="1:36" s="213" customFormat="1" x14ac:dyDescent="0.25">
      <c r="A1076" s="212"/>
      <c r="C1076" s="212"/>
      <c r="K1076" s="212"/>
      <c r="L1076" s="212"/>
      <c r="M1076" s="212"/>
      <c r="R1076" s="214"/>
      <c r="AB1076" s="215"/>
      <c r="AG1076" s="215"/>
      <c r="AJ1076" s="215"/>
    </row>
    <row r="1077" spans="1:36" s="213" customFormat="1" x14ac:dyDescent="0.25">
      <c r="A1077" s="212"/>
      <c r="C1077" s="212"/>
      <c r="K1077" s="212"/>
      <c r="L1077" s="212"/>
      <c r="M1077" s="212"/>
      <c r="R1077" s="214"/>
      <c r="AB1077" s="215"/>
      <c r="AG1077" s="215"/>
      <c r="AJ1077" s="215"/>
    </row>
    <row r="1078" spans="1:36" s="213" customFormat="1" x14ac:dyDescent="0.25">
      <c r="A1078" s="212"/>
      <c r="C1078" s="212"/>
      <c r="K1078" s="212"/>
      <c r="L1078" s="212"/>
      <c r="M1078" s="212"/>
      <c r="R1078" s="214"/>
      <c r="AB1078" s="215"/>
      <c r="AG1078" s="215"/>
      <c r="AJ1078" s="215"/>
    </row>
    <row r="1079" spans="1:36" s="213" customFormat="1" x14ac:dyDescent="0.25">
      <c r="A1079" s="212"/>
      <c r="C1079" s="212"/>
      <c r="K1079" s="212"/>
      <c r="L1079" s="212"/>
      <c r="M1079" s="212"/>
      <c r="R1079" s="214"/>
      <c r="AB1079" s="215"/>
      <c r="AG1079" s="215"/>
      <c r="AJ1079" s="215"/>
    </row>
    <row r="1080" spans="1:36" s="213" customFormat="1" x14ac:dyDescent="0.25">
      <c r="A1080" s="212"/>
      <c r="C1080" s="212"/>
      <c r="K1080" s="212"/>
      <c r="L1080" s="212"/>
      <c r="M1080" s="212"/>
      <c r="R1080" s="214"/>
      <c r="AB1080" s="215"/>
      <c r="AG1080" s="215"/>
      <c r="AJ1080" s="215"/>
    </row>
    <row r="1081" spans="1:36" s="213" customFormat="1" x14ac:dyDescent="0.25">
      <c r="A1081" s="212"/>
      <c r="C1081" s="212"/>
      <c r="K1081" s="212"/>
      <c r="L1081" s="212"/>
      <c r="M1081" s="212"/>
      <c r="R1081" s="214"/>
      <c r="AB1081" s="215"/>
      <c r="AG1081" s="215"/>
      <c r="AJ1081" s="215"/>
    </row>
    <row r="1082" spans="1:36" s="213" customFormat="1" x14ac:dyDescent="0.25">
      <c r="A1082" s="212"/>
      <c r="C1082" s="212"/>
      <c r="K1082" s="212"/>
      <c r="L1082" s="212"/>
      <c r="M1082" s="212"/>
      <c r="R1082" s="214"/>
      <c r="AB1082" s="215"/>
      <c r="AG1082" s="215"/>
      <c r="AJ1082" s="215"/>
    </row>
    <row r="1083" spans="1:36" s="213" customFormat="1" x14ac:dyDescent="0.25">
      <c r="A1083" s="212"/>
      <c r="C1083" s="212"/>
      <c r="K1083" s="212"/>
      <c r="L1083" s="212"/>
      <c r="M1083" s="212"/>
      <c r="R1083" s="214"/>
      <c r="AB1083" s="215"/>
      <c r="AG1083" s="215"/>
      <c r="AJ1083" s="215"/>
    </row>
    <row r="1084" spans="1:36" s="213" customFormat="1" x14ac:dyDescent="0.25">
      <c r="A1084" s="212"/>
      <c r="C1084" s="212"/>
      <c r="K1084" s="212"/>
      <c r="L1084" s="212"/>
      <c r="M1084" s="212"/>
      <c r="R1084" s="214"/>
      <c r="AB1084" s="215"/>
      <c r="AG1084" s="215"/>
      <c r="AJ1084" s="215"/>
    </row>
    <row r="1085" spans="1:36" s="213" customFormat="1" x14ac:dyDescent="0.25">
      <c r="A1085" s="212"/>
      <c r="C1085" s="212"/>
      <c r="K1085" s="212"/>
      <c r="L1085" s="212"/>
      <c r="M1085" s="212"/>
      <c r="R1085" s="214"/>
      <c r="AB1085" s="215"/>
      <c r="AG1085" s="215"/>
      <c r="AJ1085" s="215"/>
    </row>
    <row r="1086" spans="1:36" s="213" customFormat="1" x14ac:dyDescent="0.25">
      <c r="A1086" s="212"/>
      <c r="C1086" s="212"/>
      <c r="K1086" s="212"/>
      <c r="L1086" s="212"/>
      <c r="M1086" s="212"/>
      <c r="R1086" s="214"/>
      <c r="AB1086" s="215"/>
      <c r="AG1086" s="215"/>
      <c r="AJ1086" s="215"/>
    </row>
    <row r="1087" spans="1:36" s="213" customFormat="1" x14ac:dyDescent="0.25">
      <c r="A1087" s="212"/>
      <c r="C1087" s="212"/>
      <c r="K1087" s="212"/>
      <c r="L1087" s="212"/>
      <c r="M1087" s="212"/>
      <c r="R1087" s="214"/>
      <c r="AB1087" s="215"/>
      <c r="AG1087" s="215"/>
      <c r="AJ1087" s="215"/>
    </row>
    <row r="1088" spans="1:36" s="213" customFormat="1" x14ac:dyDescent="0.25">
      <c r="A1088" s="212"/>
      <c r="C1088" s="212"/>
      <c r="K1088" s="212"/>
      <c r="L1088" s="212"/>
      <c r="M1088" s="212"/>
      <c r="R1088" s="214"/>
      <c r="AB1088" s="215"/>
      <c r="AG1088" s="215"/>
      <c r="AJ1088" s="215"/>
    </row>
    <row r="1089" spans="1:36" s="213" customFormat="1" x14ac:dyDescent="0.25">
      <c r="A1089" s="212"/>
      <c r="C1089" s="212"/>
      <c r="K1089" s="212"/>
      <c r="L1089" s="212"/>
      <c r="M1089" s="212"/>
      <c r="R1089" s="214"/>
      <c r="AB1089" s="215"/>
      <c r="AG1089" s="215"/>
      <c r="AJ1089" s="215"/>
    </row>
    <row r="1090" spans="1:36" s="213" customFormat="1" x14ac:dyDescent="0.25">
      <c r="A1090" s="212"/>
      <c r="C1090" s="212"/>
      <c r="K1090" s="212"/>
      <c r="L1090" s="212"/>
      <c r="M1090" s="212"/>
      <c r="R1090" s="214"/>
      <c r="AB1090" s="215"/>
      <c r="AG1090" s="215"/>
      <c r="AJ1090" s="215"/>
    </row>
    <row r="1091" spans="1:36" s="213" customFormat="1" x14ac:dyDescent="0.25">
      <c r="A1091" s="212"/>
      <c r="C1091" s="212"/>
      <c r="K1091" s="212"/>
      <c r="L1091" s="212"/>
      <c r="M1091" s="212"/>
      <c r="R1091" s="214"/>
      <c r="AB1091" s="215"/>
      <c r="AG1091" s="215"/>
      <c r="AJ1091" s="215"/>
    </row>
    <row r="1092" spans="1:36" s="213" customFormat="1" x14ac:dyDescent="0.25">
      <c r="A1092" s="212"/>
      <c r="C1092" s="212"/>
      <c r="K1092" s="212"/>
      <c r="L1092" s="212"/>
      <c r="M1092" s="212"/>
      <c r="R1092" s="214"/>
      <c r="AB1092" s="215"/>
      <c r="AG1092" s="215"/>
      <c r="AJ1092" s="215"/>
    </row>
    <row r="1093" spans="1:36" s="213" customFormat="1" x14ac:dyDescent="0.25">
      <c r="A1093" s="212"/>
      <c r="C1093" s="212"/>
      <c r="K1093" s="212"/>
      <c r="L1093" s="212"/>
      <c r="M1093" s="212"/>
      <c r="R1093" s="214"/>
      <c r="AB1093" s="215"/>
      <c r="AG1093" s="215"/>
      <c r="AJ1093" s="215"/>
    </row>
    <row r="1094" spans="1:36" s="213" customFormat="1" x14ac:dyDescent="0.25">
      <c r="A1094" s="212"/>
      <c r="C1094" s="212"/>
      <c r="K1094" s="212"/>
      <c r="L1094" s="212"/>
      <c r="M1094" s="212"/>
      <c r="R1094" s="214"/>
      <c r="AB1094" s="215"/>
      <c r="AG1094" s="215"/>
      <c r="AJ1094" s="215"/>
    </row>
    <row r="1095" spans="1:36" s="213" customFormat="1" x14ac:dyDescent="0.25">
      <c r="A1095" s="212"/>
      <c r="C1095" s="212"/>
      <c r="K1095" s="212"/>
      <c r="L1095" s="212"/>
      <c r="M1095" s="212"/>
      <c r="R1095" s="214"/>
      <c r="AB1095" s="215"/>
      <c r="AG1095" s="215"/>
      <c r="AJ1095" s="215"/>
    </row>
    <row r="1096" spans="1:36" s="213" customFormat="1" x14ac:dyDescent="0.25">
      <c r="A1096" s="212"/>
      <c r="C1096" s="212"/>
      <c r="K1096" s="212"/>
      <c r="L1096" s="212"/>
      <c r="M1096" s="212"/>
      <c r="R1096" s="214"/>
      <c r="AB1096" s="215"/>
      <c r="AG1096" s="215"/>
      <c r="AJ1096" s="215"/>
    </row>
    <row r="1097" spans="1:36" s="213" customFormat="1" x14ac:dyDescent="0.25">
      <c r="A1097" s="212"/>
      <c r="C1097" s="212"/>
      <c r="K1097" s="212"/>
      <c r="L1097" s="212"/>
      <c r="M1097" s="212"/>
      <c r="R1097" s="214"/>
      <c r="AB1097" s="215"/>
      <c r="AG1097" s="215"/>
      <c r="AJ1097" s="215"/>
    </row>
    <row r="1098" spans="1:36" s="213" customFormat="1" x14ac:dyDescent="0.25">
      <c r="A1098" s="212"/>
      <c r="C1098" s="212"/>
      <c r="K1098" s="212"/>
      <c r="L1098" s="212"/>
      <c r="M1098" s="212"/>
      <c r="R1098" s="214"/>
      <c r="AB1098" s="215"/>
      <c r="AG1098" s="215"/>
      <c r="AJ1098" s="215"/>
    </row>
    <row r="1099" spans="1:36" s="213" customFormat="1" x14ac:dyDescent="0.25">
      <c r="A1099" s="212"/>
      <c r="C1099" s="212"/>
      <c r="K1099" s="212"/>
      <c r="L1099" s="212"/>
      <c r="M1099" s="212"/>
      <c r="R1099" s="214"/>
      <c r="AB1099" s="215"/>
      <c r="AG1099" s="215"/>
      <c r="AJ1099" s="215"/>
    </row>
    <row r="1100" spans="1:36" s="213" customFormat="1" x14ac:dyDescent="0.25">
      <c r="A1100" s="212"/>
      <c r="C1100" s="212"/>
      <c r="K1100" s="212"/>
      <c r="L1100" s="212"/>
      <c r="M1100" s="212"/>
      <c r="R1100" s="214"/>
      <c r="AB1100" s="215"/>
      <c r="AG1100" s="215"/>
      <c r="AJ1100" s="215"/>
    </row>
    <row r="1101" spans="1:36" s="213" customFormat="1" x14ac:dyDescent="0.25">
      <c r="A1101" s="212"/>
      <c r="C1101" s="212"/>
      <c r="K1101" s="212"/>
      <c r="L1101" s="212"/>
      <c r="M1101" s="212"/>
      <c r="R1101" s="214"/>
      <c r="AB1101" s="215"/>
      <c r="AG1101" s="215"/>
      <c r="AJ1101" s="215"/>
    </row>
    <row r="1102" spans="1:36" s="213" customFormat="1" x14ac:dyDescent="0.25">
      <c r="A1102" s="212"/>
      <c r="C1102" s="212"/>
      <c r="K1102" s="212"/>
      <c r="L1102" s="212"/>
      <c r="M1102" s="212"/>
      <c r="R1102" s="214"/>
      <c r="AB1102" s="215"/>
      <c r="AG1102" s="215"/>
      <c r="AJ1102" s="215"/>
    </row>
    <row r="1103" spans="1:36" s="213" customFormat="1" x14ac:dyDescent="0.25">
      <c r="A1103" s="212"/>
      <c r="C1103" s="212"/>
      <c r="K1103" s="212"/>
      <c r="L1103" s="212"/>
      <c r="M1103" s="212"/>
      <c r="R1103" s="214"/>
      <c r="AB1103" s="215"/>
      <c r="AG1103" s="215"/>
      <c r="AJ1103" s="215"/>
    </row>
    <row r="1104" spans="1:36" s="213" customFormat="1" x14ac:dyDescent="0.25">
      <c r="A1104" s="212"/>
      <c r="C1104" s="212"/>
      <c r="K1104" s="212"/>
      <c r="L1104" s="212"/>
      <c r="M1104" s="212"/>
      <c r="R1104" s="214"/>
      <c r="AB1104" s="215"/>
      <c r="AG1104" s="215"/>
      <c r="AJ1104" s="215"/>
    </row>
    <row r="1105" spans="1:36" s="213" customFormat="1" x14ac:dyDescent="0.25">
      <c r="A1105" s="212"/>
      <c r="C1105" s="212"/>
      <c r="K1105" s="212"/>
      <c r="L1105" s="212"/>
      <c r="M1105" s="212"/>
      <c r="R1105" s="214"/>
      <c r="AB1105" s="215"/>
      <c r="AG1105" s="215"/>
      <c r="AJ1105" s="215"/>
    </row>
    <row r="1106" spans="1:36" s="213" customFormat="1" x14ac:dyDescent="0.25">
      <c r="A1106" s="212"/>
      <c r="C1106" s="212"/>
      <c r="K1106" s="212"/>
      <c r="L1106" s="212"/>
      <c r="M1106" s="212"/>
      <c r="R1106" s="214"/>
      <c r="AB1106" s="215"/>
      <c r="AG1106" s="215"/>
      <c r="AJ1106" s="215"/>
    </row>
    <row r="1107" spans="1:36" s="213" customFormat="1" x14ac:dyDescent="0.25">
      <c r="A1107" s="212"/>
      <c r="C1107" s="212"/>
      <c r="K1107" s="212"/>
      <c r="L1107" s="212"/>
      <c r="M1107" s="212"/>
      <c r="R1107" s="214"/>
      <c r="AB1107" s="215"/>
      <c r="AG1107" s="215"/>
      <c r="AJ1107" s="215"/>
    </row>
    <row r="1108" spans="1:36" s="213" customFormat="1" x14ac:dyDescent="0.25">
      <c r="A1108" s="212"/>
      <c r="C1108" s="212"/>
      <c r="K1108" s="212"/>
      <c r="L1108" s="212"/>
      <c r="M1108" s="212"/>
      <c r="R1108" s="214"/>
      <c r="AB1108" s="215"/>
      <c r="AG1108" s="215"/>
      <c r="AJ1108" s="215"/>
    </row>
    <row r="1109" spans="1:36" s="213" customFormat="1" x14ac:dyDescent="0.25">
      <c r="A1109" s="212"/>
      <c r="C1109" s="212"/>
      <c r="K1109" s="212"/>
      <c r="L1109" s="212"/>
      <c r="M1109" s="212"/>
      <c r="R1109" s="214"/>
      <c r="AB1109" s="215"/>
      <c r="AG1109" s="215"/>
      <c r="AJ1109" s="215"/>
    </row>
    <row r="1110" spans="1:36" s="213" customFormat="1" x14ac:dyDescent="0.25">
      <c r="A1110" s="212"/>
      <c r="C1110" s="212"/>
      <c r="K1110" s="212"/>
      <c r="L1110" s="212"/>
      <c r="M1110" s="212"/>
      <c r="R1110" s="214"/>
      <c r="AB1110" s="215"/>
      <c r="AG1110" s="215"/>
      <c r="AJ1110" s="215"/>
    </row>
    <row r="1111" spans="1:36" s="213" customFormat="1" x14ac:dyDescent="0.25">
      <c r="A1111" s="212"/>
      <c r="C1111" s="212"/>
      <c r="K1111" s="212"/>
      <c r="L1111" s="212"/>
      <c r="M1111" s="212"/>
      <c r="R1111" s="214"/>
      <c r="AB1111" s="215"/>
      <c r="AG1111" s="215"/>
      <c r="AJ1111" s="215"/>
    </row>
    <row r="1112" spans="1:36" s="213" customFormat="1" x14ac:dyDescent="0.25">
      <c r="A1112" s="212"/>
      <c r="C1112" s="212"/>
      <c r="K1112" s="212"/>
      <c r="L1112" s="212"/>
      <c r="M1112" s="212"/>
      <c r="R1112" s="214"/>
      <c r="AB1112" s="215"/>
      <c r="AG1112" s="215"/>
      <c r="AJ1112" s="215"/>
    </row>
    <row r="1113" spans="1:36" s="213" customFormat="1" x14ac:dyDescent="0.25">
      <c r="A1113" s="212"/>
      <c r="C1113" s="212"/>
      <c r="K1113" s="212"/>
      <c r="L1113" s="212"/>
      <c r="M1113" s="212"/>
      <c r="R1113" s="214"/>
      <c r="AB1113" s="215"/>
      <c r="AG1113" s="215"/>
      <c r="AJ1113" s="215"/>
    </row>
    <row r="1114" spans="1:36" s="213" customFormat="1" x14ac:dyDescent="0.25">
      <c r="A1114" s="212"/>
      <c r="C1114" s="212"/>
      <c r="K1114" s="212"/>
      <c r="L1114" s="212"/>
      <c r="M1114" s="212"/>
      <c r="R1114" s="214"/>
      <c r="AB1114" s="215"/>
      <c r="AG1114" s="215"/>
      <c r="AJ1114" s="215"/>
    </row>
    <row r="1115" spans="1:36" s="213" customFormat="1" x14ac:dyDescent="0.25">
      <c r="A1115" s="212"/>
      <c r="C1115" s="212"/>
      <c r="K1115" s="212"/>
      <c r="L1115" s="212"/>
      <c r="M1115" s="212"/>
      <c r="R1115" s="214"/>
      <c r="AB1115" s="215"/>
      <c r="AG1115" s="215"/>
      <c r="AJ1115" s="215"/>
    </row>
    <row r="1116" spans="1:36" s="213" customFormat="1" x14ac:dyDescent="0.25">
      <c r="A1116" s="212"/>
      <c r="C1116" s="212"/>
      <c r="K1116" s="212"/>
      <c r="L1116" s="212"/>
      <c r="M1116" s="212"/>
      <c r="R1116" s="214"/>
      <c r="AB1116" s="215"/>
      <c r="AG1116" s="215"/>
      <c r="AJ1116" s="215"/>
    </row>
    <row r="1117" spans="1:36" s="213" customFormat="1" x14ac:dyDescent="0.25">
      <c r="A1117" s="212"/>
      <c r="C1117" s="212"/>
      <c r="K1117" s="212"/>
      <c r="L1117" s="212"/>
      <c r="M1117" s="212"/>
      <c r="R1117" s="214"/>
      <c r="AB1117" s="215"/>
      <c r="AG1117" s="215"/>
      <c r="AJ1117" s="215"/>
    </row>
    <row r="1118" spans="1:36" s="213" customFormat="1" x14ac:dyDescent="0.25">
      <c r="A1118" s="212"/>
      <c r="C1118" s="212"/>
      <c r="K1118" s="212"/>
      <c r="L1118" s="212"/>
      <c r="M1118" s="212"/>
      <c r="R1118" s="214"/>
      <c r="AB1118" s="215"/>
      <c r="AG1118" s="215"/>
      <c r="AJ1118" s="215"/>
    </row>
    <row r="1119" spans="1:36" s="213" customFormat="1" x14ac:dyDescent="0.25">
      <c r="A1119" s="212"/>
      <c r="C1119" s="212"/>
      <c r="K1119" s="212"/>
      <c r="L1119" s="212"/>
      <c r="M1119" s="212"/>
      <c r="R1119" s="214"/>
      <c r="AB1119" s="215"/>
      <c r="AG1119" s="215"/>
      <c r="AJ1119" s="215"/>
    </row>
    <row r="1120" spans="1:36" s="213" customFormat="1" x14ac:dyDescent="0.25">
      <c r="A1120" s="212"/>
      <c r="C1120" s="212"/>
      <c r="K1120" s="212"/>
      <c r="L1120" s="212"/>
      <c r="M1120" s="212"/>
      <c r="R1120" s="214"/>
      <c r="AB1120" s="215"/>
      <c r="AG1120" s="215"/>
      <c r="AJ1120" s="215"/>
    </row>
    <row r="1121" spans="1:36" s="213" customFormat="1" x14ac:dyDescent="0.25">
      <c r="A1121" s="212"/>
      <c r="C1121" s="212"/>
      <c r="K1121" s="212"/>
      <c r="L1121" s="212"/>
      <c r="M1121" s="212"/>
      <c r="R1121" s="214"/>
      <c r="AB1121" s="215"/>
      <c r="AG1121" s="215"/>
      <c r="AJ1121" s="215"/>
    </row>
    <row r="1122" spans="1:36" s="213" customFormat="1" x14ac:dyDescent="0.25">
      <c r="A1122" s="212"/>
      <c r="C1122" s="212"/>
      <c r="K1122" s="212"/>
      <c r="L1122" s="212"/>
      <c r="M1122" s="212"/>
      <c r="R1122" s="214"/>
      <c r="AB1122" s="215"/>
      <c r="AG1122" s="215"/>
      <c r="AJ1122" s="215"/>
    </row>
    <row r="1123" spans="1:36" s="213" customFormat="1" x14ac:dyDescent="0.25">
      <c r="A1123" s="212"/>
      <c r="C1123" s="212"/>
      <c r="K1123" s="212"/>
      <c r="L1123" s="212"/>
      <c r="M1123" s="212"/>
      <c r="R1123" s="214"/>
      <c r="AB1123" s="215"/>
      <c r="AG1123" s="215"/>
      <c r="AJ1123" s="215"/>
    </row>
    <row r="1124" spans="1:36" s="213" customFormat="1" x14ac:dyDescent="0.25">
      <c r="A1124" s="212"/>
      <c r="C1124" s="212"/>
      <c r="K1124" s="212"/>
      <c r="L1124" s="212"/>
      <c r="M1124" s="212"/>
      <c r="R1124" s="214"/>
      <c r="AB1124" s="215"/>
      <c r="AG1124" s="215"/>
      <c r="AJ1124" s="215"/>
    </row>
    <row r="1125" spans="1:36" s="213" customFormat="1" x14ac:dyDescent="0.25">
      <c r="A1125" s="212"/>
      <c r="C1125" s="212"/>
      <c r="K1125" s="212"/>
      <c r="L1125" s="212"/>
      <c r="M1125" s="212"/>
      <c r="R1125" s="214"/>
      <c r="AB1125" s="215"/>
      <c r="AG1125" s="215"/>
      <c r="AJ1125" s="215"/>
    </row>
    <row r="1126" spans="1:36" s="213" customFormat="1" x14ac:dyDescent="0.25">
      <c r="A1126" s="212"/>
      <c r="C1126" s="212"/>
      <c r="K1126" s="212"/>
      <c r="L1126" s="212"/>
      <c r="M1126" s="212"/>
      <c r="R1126" s="214"/>
      <c r="AB1126" s="215"/>
      <c r="AG1126" s="215"/>
      <c r="AJ1126" s="215"/>
    </row>
    <row r="1127" spans="1:36" s="213" customFormat="1" x14ac:dyDescent="0.25">
      <c r="A1127" s="212"/>
      <c r="C1127" s="212"/>
      <c r="K1127" s="212"/>
      <c r="L1127" s="212"/>
      <c r="M1127" s="212"/>
      <c r="R1127" s="214"/>
      <c r="AB1127" s="215"/>
      <c r="AG1127" s="215"/>
      <c r="AJ1127" s="215"/>
    </row>
    <row r="1128" spans="1:36" s="213" customFormat="1" x14ac:dyDescent="0.25">
      <c r="A1128" s="212"/>
      <c r="C1128" s="212"/>
      <c r="K1128" s="212"/>
      <c r="L1128" s="212"/>
      <c r="M1128" s="212"/>
      <c r="R1128" s="214"/>
      <c r="AB1128" s="215"/>
      <c r="AG1128" s="215"/>
      <c r="AJ1128" s="215"/>
    </row>
    <row r="1129" spans="1:36" s="213" customFormat="1" x14ac:dyDescent="0.25">
      <c r="A1129" s="212"/>
      <c r="C1129" s="212"/>
      <c r="K1129" s="212"/>
      <c r="L1129" s="212"/>
      <c r="M1129" s="212"/>
      <c r="R1129" s="214"/>
      <c r="AB1129" s="215"/>
      <c r="AG1129" s="215"/>
      <c r="AJ1129" s="215"/>
    </row>
    <row r="1130" spans="1:36" s="213" customFormat="1" x14ac:dyDescent="0.25">
      <c r="A1130" s="212"/>
      <c r="C1130" s="212"/>
      <c r="K1130" s="212"/>
      <c r="L1130" s="212"/>
      <c r="M1130" s="212"/>
      <c r="R1130" s="214"/>
      <c r="AB1130" s="215"/>
      <c r="AG1130" s="215"/>
      <c r="AJ1130" s="215"/>
    </row>
    <row r="1131" spans="1:36" s="213" customFormat="1" x14ac:dyDescent="0.25">
      <c r="A1131" s="212"/>
      <c r="C1131" s="212"/>
      <c r="K1131" s="212"/>
      <c r="L1131" s="212"/>
      <c r="M1131" s="212"/>
      <c r="R1131" s="214"/>
      <c r="AB1131" s="215"/>
      <c r="AG1131" s="215"/>
      <c r="AJ1131" s="215"/>
    </row>
    <row r="1132" spans="1:36" s="213" customFormat="1" x14ac:dyDescent="0.25">
      <c r="A1132" s="212"/>
      <c r="C1132" s="212"/>
      <c r="K1132" s="212"/>
      <c r="L1132" s="212"/>
      <c r="M1132" s="212"/>
      <c r="R1132" s="214"/>
      <c r="AB1132" s="215"/>
      <c r="AG1132" s="215"/>
      <c r="AJ1132" s="215"/>
    </row>
    <row r="1133" spans="1:36" s="213" customFormat="1" x14ac:dyDescent="0.25">
      <c r="A1133" s="212"/>
      <c r="C1133" s="212"/>
      <c r="K1133" s="212"/>
      <c r="L1133" s="212"/>
      <c r="M1133" s="212"/>
      <c r="R1133" s="214"/>
      <c r="AB1133" s="215"/>
      <c r="AG1133" s="215"/>
      <c r="AJ1133" s="215"/>
    </row>
    <row r="1134" spans="1:36" s="213" customFormat="1" x14ac:dyDescent="0.25">
      <c r="A1134" s="212"/>
      <c r="C1134" s="212"/>
      <c r="K1134" s="212"/>
      <c r="L1134" s="212"/>
      <c r="M1134" s="212"/>
      <c r="R1134" s="214"/>
      <c r="AB1134" s="215"/>
      <c r="AG1134" s="215"/>
      <c r="AJ1134" s="215"/>
    </row>
    <row r="1135" spans="1:36" s="213" customFormat="1" x14ac:dyDescent="0.25">
      <c r="A1135" s="212"/>
      <c r="C1135" s="212"/>
      <c r="K1135" s="212"/>
      <c r="L1135" s="212"/>
      <c r="M1135" s="212"/>
      <c r="R1135" s="214"/>
      <c r="AB1135" s="215"/>
      <c r="AG1135" s="215"/>
      <c r="AJ1135" s="215"/>
    </row>
    <row r="1136" spans="1:36" s="213" customFormat="1" x14ac:dyDescent="0.25">
      <c r="A1136" s="212"/>
      <c r="C1136" s="212"/>
      <c r="K1136" s="212"/>
      <c r="L1136" s="212"/>
      <c r="M1136" s="212"/>
      <c r="R1136" s="214"/>
      <c r="AB1136" s="215"/>
      <c r="AG1136" s="215"/>
      <c r="AJ1136" s="215"/>
    </row>
    <row r="1137" spans="1:36" s="213" customFormat="1" x14ac:dyDescent="0.25">
      <c r="A1137" s="212"/>
      <c r="C1137" s="212"/>
      <c r="K1137" s="212"/>
      <c r="L1137" s="212"/>
      <c r="M1137" s="212"/>
      <c r="R1137" s="214"/>
      <c r="AB1137" s="215"/>
      <c r="AG1137" s="215"/>
      <c r="AJ1137" s="215"/>
    </row>
    <row r="1138" spans="1:36" s="213" customFormat="1" x14ac:dyDescent="0.25">
      <c r="A1138" s="212"/>
      <c r="C1138" s="212"/>
      <c r="K1138" s="212"/>
      <c r="L1138" s="212"/>
      <c r="M1138" s="212"/>
      <c r="R1138" s="214"/>
      <c r="AB1138" s="215"/>
      <c r="AG1138" s="215"/>
      <c r="AJ1138" s="215"/>
    </row>
    <row r="1139" spans="1:36" s="213" customFormat="1" x14ac:dyDescent="0.25">
      <c r="A1139" s="212"/>
      <c r="C1139" s="212"/>
      <c r="K1139" s="212"/>
      <c r="L1139" s="212"/>
      <c r="M1139" s="212"/>
      <c r="R1139" s="214"/>
      <c r="AB1139" s="215"/>
      <c r="AG1139" s="215"/>
      <c r="AJ1139" s="215"/>
    </row>
    <row r="1140" spans="1:36" s="213" customFormat="1" x14ac:dyDescent="0.25">
      <c r="A1140" s="212"/>
      <c r="C1140" s="212"/>
      <c r="K1140" s="212"/>
      <c r="L1140" s="212"/>
      <c r="M1140" s="212"/>
      <c r="R1140" s="214"/>
      <c r="AB1140" s="215"/>
      <c r="AG1140" s="215"/>
      <c r="AJ1140" s="215"/>
    </row>
    <row r="1141" spans="1:36" s="213" customFormat="1" x14ac:dyDescent="0.25">
      <c r="A1141" s="212"/>
      <c r="C1141" s="212"/>
      <c r="K1141" s="212"/>
      <c r="L1141" s="212"/>
      <c r="M1141" s="212"/>
      <c r="R1141" s="214"/>
      <c r="AB1141" s="215"/>
      <c r="AG1141" s="215"/>
      <c r="AJ1141" s="215"/>
    </row>
    <row r="1142" spans="1:36" s="213" customFormat="1" x14ac:dyDescent="0.25">
      <c r="A1142" s="212"/>
      <c r="C1142" s="212"/>
      <c r="K1142" s="212"/>
      <c r="L1142" s="212"/>
      <c r="M1142" s="212"/>
      <c r="R1142" s="214"/>
      <c r="AB1142" s="215"/>
      <c r="AG1142" s="215"/>
      <c r="AJ1142" s="215"/>
    </row>
    <row r="1143" spans="1:36" s="213" customFormat="1" x14ac:dyDescent="0.25">
      <c r="A1143" s="212"/>
      <c r="C1143" s="212"/>
      <c r="K1143" s="212"/>
      <c r="L1143" s="212"/>
      <c r="M1143" s="212"/>
      <c r="R1143" s="214"/>
      <c r="AB1143" s="215"/>
      <c r="AG1143" s="215"/>
      <c r="AJ1143" s="215"/>
    </row>
    <row r="1144" spans="1:36" s="213" customFormat="1" x14ac:dyDescent="0.25">
      <c r="A1144" s="212"/>
      <c r="C1144" s="212"/>
      <c r="K1144" s="212"/>
      <c r="L1144" s="212"/>
      <c r="M1144" s="212"/>
      <c r="R1144" s="214"/>
      <c r="AB1144" s="215"/>
      <c r="AG1144" s="215"/>
      <c r="AJ1144" s="215"/>
    </row>
    <row r="1145" spans="1:36" s="213" customFormat="1" x14ac:dyDescent="0.25">
      <c r="A1145" s="212"/>
      <c r="C1145" s="212"/>
      <c r="K1145" s="212"/>
      <c r="L1145" s="212"/>
      <c r="M1145" s="212"/>
      <c r="R1145" s="214"/>
      <c r="AB1145" s="215"/>
      <c r="AG1145" s="215"/>
      <c r="AJ1145" s="215"/>
    </row>
    <row r="1146" spans="1:36" s="213" customFormat="1" x14ac:dyDescent="0.25">
      <c r="A1146" s="212"/>
      <c r="C1146" s="212"/>
      <c r="K1146" s="212"/>
      <c r="L1146" s="212"/>
      <c r="M1146" s="212"/>
      <c r="R1146" s="214"/>
      <c r="AB1146" s="215"/>
      <c r="AG1146" s="215"/>
      <c r="AJ1146" s="215"/>
    </row>
    <row r="1147" spans="1:36" s="213" customFormat="1" x14ac:dyDescent="0.25">
      <c r="A1147" s="212"/>
      <c r="C1147" s="212"/>
      <c r="K1147" s="212"/>
      <c r="L1147" s="212"/>
      <c r="M1147" s="212"/>
      <c r="R1147" s="214"/>
      <c r="AB1147" s="215"/>
      <c r="AG1147" s="215"/>
      <c r="AJ1147" s="215"/>
    </row>
    <row r="1148" spans="1:36" s="213" customFormat="1" x14ac:dyDescent="0.25">
      <c r="A1148" s="212"/>
      <c r="C1148" s="212"/>
      <c r="K1148" s="212"/>
      <c r="L1148" s="212"/>
      <c r="M1148" s="212"/>
      <c r="R1148" s="214"/>
      <c r="AB1148" s="215"/>
      <c r="AG1148" s="215"/>
      <c r="AJ1148" s="215"/>
    </row>
    <row r="1149" spans="1:36" s="213" customFormat="1" x14ac:dyDescent="0.25">
      <c r="A1149" s="212"/>
      <c r="C1149" s="212"/>
      <c r="K1149" s="212"/>
      <c r="L1149" s="212"/>
      <c r="M1149" s="212"/>
      <c r="R1149" s="214"/>
      <c r="AB1149" s="215"/>
      <c r="AG1149" s="215"/>
      <c r="AJ1149" s="215"/>
    </row>
    <row r="1150" spans="1:36" s="213" customFormat="1" x14ac:dyDescent="0.25">
      <c r="A1150" s="212"/>
      <c r="C1150" s="212"/>
      <c r="K1150" s="212"/>
      <c r="L1150" s="212"/>
      <c r="M1150" s="212"/>
      <c r="R1150" s="214"/>
      <c r="AB1150" s="215"/>
      <c r="AG1150" s="215"/>
      <c r="AJ1150" s="215"/>
    </row>
    <row r="1151" spans="1:36" s="213" customFormat="1" x14ac:dyDescent="0.25">
      <c r="A1151" s="212"/>
      <c r="C1151" s="212"/>
      <c r="K1151" s="212"/>
      <c r="L1151" s="212"/>
      <c r="M1151" s="212"/>
      <c r="R1151" s="214"/>
      <c r="AB1151" s="215"/>
      <c r="AG1151" s="215"/>
      <c r="AJ1151" s="215"/>
    </row>
    <row r="1152" spans="1:36" s="213" customFormat="1" x14ac:dyDescent="0.25">
      <c r="A1152" s="212"/>
      <c r="C1152" s="212"/>
      <c r="K1152" s="212"/>
      <c r="L1152" s="212"/>
      <c r="M1152" s="212"/>
      <c r="R1152" s="214"/>
      <c r="AB1152" s="215"/>
      <c r="AG1152" s="215"/>
      <c r="AJ1152" s="215"/>
    </row>
    <row r="1153" spans="1:36" s="213" customFormat="1" x14ac:dyDescent="0.25">
      <c r="A1153" s="212"/>
      <c r="C1153" s="212"/>
      <c r="K1153" s="212"/>
      <c r="L1153" s="212"/>
      <c r="M1153" s="212"/>
      <c r="R1153" s="214"/>
      <c r="AB1153" s="215"/>
      <c r="AG1153" s="215"/>
      <c r="AJ1153" s="215"/>
    </row>
    <row r="1154" spans="1:36" s="213" customFormat="1" x14ac:dyDescent="0.25">
      <c r="A1154" s="212"/>
      <c r="C1154" s="212"/>
      <c r="K1154" s="212"/>
      <c r="L1154" s="212"/>
      <c r="M1154" s="212"/>
      <c r="R1154" s="214"/>
      <c r="AB1154" s="215"/>
      <c r="AG1154" s="215"/>
      <c r="AJ1154" s="215"/>
    </row>
    <row r="1155" spans="1:36" s="213" customFormat="1" x14ac:dyDescent="0.25">
      <c r="A1155" s="212"/>
      <c r="C1155" s="212"/>
      <c r="K1155" s="212"/>
      <c r="L1155" s="212"/>
      <c r="M1155" s="212"/>
      <c r="R1155" s="214"/>
      <c r="AB1155" s="215"/>
      <c r="AG1155" s="215"/>
      <c r="AJ1155" s="215"/>
    </row>
    <row r="1156" spans="1:36" s="213" customFormat="1" x14ac:dyDescent="0.25">
      <c r="A1156" s="212"/>
      <c r="C1156" s="212"/>
      <c r="K1156" s="212"/>
      <c r="L1156" s="212"/>
      <c r="M1156" s="212"/>
      <c r="R1156" s="214"/>
      <c r="AB1156" s="215"/>
      <c r="AG1156" s="215"/>
      <c r="AJ1156" s="215"/>
    </row>
    <row r="1157" spans="1:36" s="213" customFormat="1" x14ac:dyDescent="0.25">
      <c r="A1157" s="212"/>
      <c r="C1157" s="212"/>
      <c r="K1157" s="212"/>
      <c r="L1157" s="212"/>
      <c r="M1157" s="212"/>
      <c r="R1157" s="214"/>
      <c r="AB1157" s="215"/>
      <c r="AG1157" s="215"/>
      <c r="AJ1157" s="215"/>
    </row>
    <row r="1158" spans="1:36" s="213" customFormat="1" x14ac:dyDescent="0.25">
      <c r="A1158" s="212"/>
      <c r="C1158" s="212"/>
      <c r="K1158" s="212"/>
      <c r="L1158" s="212"/>
      <c r="M1158" s="212"/>
      <c r="R1158" s="214"/>
      <c r="AB1158" s="215"/>
      <c r="AG1158" s="215"/>
      <c r="AJ1158" s="215"/>
    </row>
    <row r="1159" spans="1:36" s="213" customFormat="1" x14ac:dyDescent="0.25">
      <c r="A1159" s="212"/>
      <c r="C1159" s="212"/>
      <c r="K1159" s="212"/>
      <c r="L1159" s="212"/>
      <c r="M1159" s="212"/>
      <c r="R1159" s="214"/>
      <c r="AB1159" s="215"/>
      <c r="AG1159" s="215"/>
      <c r="AJ1159" s="215"/>
    </row>
    <row r="1160" spans="1:36" s="213" customFormat="1" x14ac:dyDescent="0.25">
      <c r="A1160" s="212"/>
      <c r="C1160" s="212"/>
      <c r="K1160" s="212"/>
      <c r="L1160" s="212"/>
      <c r="M1160" s="212"/>
      <c r="R1160" s="214"/>
      <c r="AB1160" s="215"/>
      <c r="AG1160" s="215"/>
      <c r="AJ1160" s="215"/>
    </row>
    <row r="1161" spans="1:36" s="213" customFormat="1" x14ac:dyDescent="0.25">
      <c r="A1161" s="212"/>
      <c r="C1161" s="212"/>
      <c r="K1161" s="212"/>
      <c r="L1161" s="212"/>
      <c r="M1161" s="212"/>
      <c r="R1161" s="214"/>
      <c r="AB1161" s="215"/>
      <c r="AG1161" s="215"/>
      <c r="AJ1161" s="215"/>
    </row>
    <row r="1162" spans="1:36" s="213" customFormat="1" x14ac:dyDescent="0.25">
      <c r="A1162" s="212"/>
      <c r="C1162" s="212"/>
      <c r="K1162" s="212"/>
      <c r="L1162" s="212"/>
      <c r="M1162" s="212"/>
      <c r="R1162" s="214"/>
      <c r="AB1162" s="215"/>
      <c r="AG1162" s="215"/>
      <c r="AJ1162" s="215"/>
    </row>
    <row r="1163" spans="1:36" s="213" customFormat="1" x14ac:dyDescent="0.25">
      <c r="A1163" s="212"/>
      <c r="C1163" s="212"/>
      <c r="K1163" s="212"/>
      <c r="L1163" s="212"/>
      <c r="M1163" s="212"/>
      <c r="R1163" s="214"/>
      <c r="AB1163" s="215"/>
      <c r="AG1163" s="215"/>
      <c r="AJ1163" s="215"/>
    </row>
    <row r="1164" spans="1:36" s="213" customFormat="1" x14ac:dyDescent="0.25">
      <c r="A1164" s="212"/>
      <c r="C1164" s="212"/>
      <c r="K1164" s="212"/>
      <c r="L1164" s="212"/>
      <c r="M1164" s="212"/>
      <c r="R1164" s="214"/>
      <c r="AB1164" s="215"/>
      <c r="AG1164" s="215"/>
      <c r="AJ1164" s="215"/>
    </row>
    <row r="1165" spans="1:36" s="213" customFormat="1" x14ac:dyDescent="0.25">
      <c r="A1165" s="212"/>
      <c r="C1165" s="212"/>
      <c r="K1165" s="212"/>
      <c r="L1165" s="212"/>
      <c r="M1165" s="212"/>
      <c r="R1165" s="214"/>
      <c r="AB1165" s="215"/>
      <c r="AG1165" s="215"/>
      <c r="AJ1165" s="215"/>
    </row>
    <row r="1166" spans="1:36" s="213" customFormat="1" x14ac:dyDescent="0.25">
      <c r="A1166" s="212"/>
      <c r="C1166" s="212"/>
      <c r="K1166" s="212"/>
      <c r="L1166" s="212"/>
      <c r="M1166" s="212"/>
      <c r="R1166" s="214"/>
      <c r="AB1166" s="215"/>
      <c r="AG1166" s="215"/>
      <c r="AJ1166" s="215"/>
    </row>
    <row r="1167" spans="1:36" s="213" customFormat="1" x14ac:dyDescent="0.25">
      <c r="A1167" s="212"/>
      <c r="C1167" s="212"/>
      <c r="K1167" s="212"/>
      <c r="L1167" s="212"/>
      <c r="M1167" s="212"/>
      <c r="R1167" s="214"/>
      <c r="AB1167" s="215"/>
      <c r="AG1167" s="215"/>
      <c r="AJ1167" s="215"/>
    </row>
    <row r="1168" spans="1:36" s="213" customFormat="1" x14ac:dyDescent="0.25">
      <c r="A1168" s="212"/>
      <c r="C1168" s="212"/>
      <c r="K1168" s="212"/>
      <c r="L1168" s="212"/>
      <c r="M1168" s="212"/>
      <c r="R1168" s="214"/>
      <c r="AB1168" s="215"/>
      <c r="AG1168" s="215"/>
      <c r="AJ1168" s="215"/>
    </row>
    <row r="1169" spans="1:36" s="213" customFormat="1" x14ac:dyDescent="0.25">
      <c r="A1169" s="212"/>
      <c r="C1169" s="212"/>
      <c r="K1169" s="212"/>
      <c r="L1169" s="212"/>
      <c r="M1169" s="212"/>
      <c r="R1169" s="214"/>
      <c r="AB1169" s="215"/>
      <c r="AG1169" s="215"/>
      <c r="AJ1169" s="215"/>
    </row>
    <row r="1170" spans="1:36" s="213" customFormat="1" x14ac:dyDescent="0.25">
      <c r="A1170" s="212"/>
      <c r="C1170" s="212"/>
      <c r="K1170" s="212"/>
      <c r="L1170" s="212"/>
      <c r="M1170" s="212"/>
      <c r="R1170" s="214"/>
      <c r="AB1170" s="215"/>
      <c r="AG1170" s="215"/>
      <c r="AJ1170" s="215"/>
    </row>
    <row r="1171" spans="1:36" s="213" customFormat="1" x14ac:dyDescent="0.25">
      <c r="A1171" s="212"/>
      <c r="C1171" s="212"/>
      <c r="K1171" s="212"/>
      <c r="L1171" s="212"/>
      <c r="M1171" s="212"/>
      <c r="R1171" s="214"/>
      <c r="AB1171" s="215"/>
      <c r="AG1171" s="215"/>
      <c r="AJ1171" s="215"/>
    </row>
    <row r="1172" spans="1:36" s="213" customFormat="1" x14ac:dyDescent="0.25">
      <c r="A1172" s="212"/>
      <c r="C1172" s="212"/>
      <c r="K1172" s="212"/>
      <c r="L1172" s="212"/>
      <c r="M1172" s="212"/>
      <c r="R1172" s="214"/>
      <c r="AB1172" s="215"/>
      <c r="AG1172" s="215"/>
      <c r="AJ1172" s="215"/>
    </row>
    <row r="1173" spans="1:36" s="213" customFormat="1" x14ac:dyDescent="0.25">
      <c r="A1173" s="212"/>
      <c r="C1173" s="212"/>
      <c r="K1173" s="212"/>
      <c r="L1173" s="212"/>
      <c r="M1173" s="212"/>
      <c r="R1173" s="214"/>
      <c r="AB1173" s="215"/>
      <c r="AG1173" s="215"/>
      <c r="AJ1173" s="215"/>
    </row>
    <row r="1174" spans="1:36" s="213" customFormat="1" x14ac:dyDescent="0.25">
      <c r="A1174" s="212"/>
      <c r="C1174" s="212"/>
      <c r="K1174" s="212"/>
      <c r="L1174" s="212"/>
      <c r="M1174" s="212"/>
      <c r="R1174" s="214"/>
      <c r="AB1174" s="215"/>
      <c r="AG1174" s="215"/>
      <c r="AJ1174" s="215"/>
    </row>
    <row r="1175" spans="1:36" s="213" customFormat="1" x14ac:dyDescent="0.25">
      <c r="A1175" s="212"/>
      <c r="C1175" s="212"/>
      <c r="K1175" s="212"/>
      <c r="L1175" s="212"/>
      <c r="M1175" s="212"/>
      <c r="R1175" s="214"/>
      <c r="AB1175" s="215"/>
      <c r="AG1175" s="215"/>
      <c r="AJ1175" s="215"/>
    </row>
    <row r="1176" spans="1:36" s="213" customFormat="1" x14ac:dyDescent="0.25">
      <c r="A1176" s="212"/>
      <c r="C1176" s="212"/>
      <c r="K1176" s="212"/>
      <c r="L1176" s="212"/>
      <c r="M1176" s="212"/>
      <c r="R1176" s="214"/>
      <c r="AB1176" s="215"/>
      <c r="AG1176" s="215"/>
      <c r="AJ1176" s="215"/>
    </row>
    <row r="1177" spans="1:36" s="213" customFormat="1" x14ac:dyDescent="0.25">
      <c r="A1177" s="212"/>
      <c r="C1177" s="212"/>
      <c r="K1177" s="212"/>
      <c r="L1177" s="212"/>
      <c r="M1177" s="212"/>
      <c r="R1177" s="214"/>
      <c r="AB1177" s="215"/>
      <c r="AG1177" s="215"/>
      <c r="AJ1177" s="215"/>
    </row>
    <row r="1178" spans="1:36" s="213" customFormat="1" x14ac:dyDescent="0.25">
      <c r="A1178" s="212"/>
      <c r="C1178" s="212"/>
      <c r="K1178" s="212"/>
      <c r="L1178" s="212"/>
      <c r="M1178" s="212"/>
      <c r="R1178" s="214"/>
      <c r="AB1178" s="215"/>
      <c r="AG1178" s="215"/>
      <c r="AJ1178" s="215"/>
    </row>
    <row r="1179" spans="1:36" s="213" customFormat="1" x14ac:dyDescent="0.25">
      <c r="A1179" s="212"/>
      <c r="C1179" s="212"/>
      <c r="K1179" s="212"/>
      <c r="L1179" s="212"/>
      <c r="M1179" s="212"/>
      <c r="R1179" s="214"/>
      <c r="AB1179" s="215"/>
      <c r="AG1179" s="215"/>
      <c r="AJ1179" s="215"/>
    </row>
    <row r="1180" spans="1:36" s="213" customFormat="1" x14ac:dyDescent="0.25">
      <c r="A1180" s="212"/>
      <c r="C1180" s="212"/>
      <c r="K1180" s="212"/>
      <c r="L1180" s="212"/>
      <c r="M1180" s="212"/>
      <c r="R1180" s="214"/>
      <c r="AB1180" s="215"/>
      <c r="AG1180" s="215"/>
      <c r="AJ1180" s="215"/>
    </row>
    <row r="1181" spans="1:36" s="213" customFormat="1" x14ac:dyDescent="0.25">
      <c r="A1181" s="212"/>
      <c r="C1181" s="212"/>
      <c r="K1181" s="212"/>
      <c r="L1181" s="212"/>
      <c r="M1181" s="212"/>
      <c r="R1181" s="214"/>
      <c r="AB1181" s="215"/>
      <c r="AG1181" s="215"/>
      <c r="AJ1181" s="215"/>
    </row>
    <row r="1182" spans="1:36" s="213" customFormat="1" x14ac:dyDescent="0.25">
      <c r="A1182" s="212"/>
      <c r="C1182" s="212"/>
      <c r="K1182" s="212"/>
      <c r="L1182" s="212"/>
      <c r="M1182" s="212"/>
      <c r="R1182" s="214"/>
      <c r="AB1182" s="215"/>
      <c r="AG1182" s="215"/>
      <c r="AJ1182" s="215"/>
    </row>
    <row r="1183" spans="1:36" s="213" customFormat="1" x14ac:dyDescent="0.25">
      <c r="A1183" s="212"/>
      <c r="C1183" s="212"/>
      <c r="K1183" s="212"/>
      <c r="L1183" s="212"/>
      <c r="M1183" s="212"/>
      <c r="R1183" s="214"/>
      <c r="AB1183" s="215"/>
      <c r="AG1183" s="215"/>
      <c r="AJ1183" s="215"/>
    </row>
    <row r="1184" spans="1:36" s="213" customFormat="1" x14ac:dyDescent="0.25">
      <c r="A1184" s="212"/>
      <c r="C1184" s="212"/>
      <c r="K1184" s="212"/>
      <c r="L1184" s="212"/>
      <c r="M1184" s="212"/>
      <c r="R1184" s="214"/>
      <c r="AB1184" s="215"/>
      <c r="AG1184" s="215"/>
      <c r="AJ1184" s="215"/>
    </row>
    <row r="1185" spans="1:36" s="213" customFormat="1" x14ac:dyDescent="0.25">
      <c r="A1185" s="212"/>
      <c r="C1185" s="212"/>
      <c r="K1185" s="212"/>
      <c r="L1185" s="212"/>
      <c r="M1185" s="212"/>
      <c r="R1185" s="214"/>
      <c r="AB1185" s="215"/>
      <c r="AG1185" s="215"/>
      <c r="AJ1185" s="215"/>
    </row>
    <row r="1186" spans="1:36" s="213" customFormat="1" x14ac:dyDescent="0.25">
      <c r="A1186" s="212"/>
      <c r="C1186" s="212"/>
      <c r="K1186" s="212"/>
      <c r="L1186" s="212"/>
      <c r="M1186" s="212"/>
      <c r="R1186" s="214"/>
      <c r="AB1186" s="215"/>
      <c r="AG1186" s="215"/>
      <c r="AJ1186" s="215"/>
    </row>
    <row r="1187" spans="1:36" s="213" customFormat="1" x14ac:dyDescent="0.25">
      <c r="A1187" s="212"/>
      <c r="C1187" s="212"/>
      <c r="K1187" s="212"/>
      <c r="L1187" s="212"/>
      <c r="M1187" s="212"/>
      <c r="R1187" s="214"/>
      <c r="AB1187" s="215"/>
      <c r="AG1187" s="215"/>
      <c r="AJ1187" s="215"/>
    </row>
    <row r="1188" spans="1:36" s="213" customFormat="1" x14ac:dyDescent="0.25">
      <c r="A1188" s="212"/>
      <c r="C1188" s="212"/>
      <c r="K1188" s="212"/>
      <c r="L1188" s="212"/>
      <c r="M1188" s="212"/>
      <c r="R1188" s="214"/>
      <c r="AB1188" s="215"/>
      <c r="AG1188" s="215"/>
      <c r="AJ1188" s="215"/>
    </row>
    <row r="1189" spans="1:36" s="213" customFormat="1" x14ac:dyDescent="0.25">
      <c r="A1189" s="212"/>
      <c r="C1189" s="212"/>
      <c r="K1189" s="212"/>
      <c r="L1189" s="212"/>
      <c r="M1189" s="212"/>
      <c r="R1189" s="214"/>
      <c r="AB1189" s="215"/>
      <c r="AG1189" s="215"/>
      <c r="AJ1189" s="215"/>
    </row>
    <row r="1190" spans="1:36" s="213" customFormat="1" x14ac:dyDescent="0.25">
      <c r="A1190" s="212"/>
      <c r="C1190" s="212"/>
      <c r="K1190" s="212"/>
      <c r="L1190" s="212"/>
      <c r="M1190" s="212"/>
      <c r="R1190" s="214"/>
      <c r="AB1190" s="215"/>
      <c r="AG1190" s="215"/>
      <c r="AJ1190" s="215"/>
    </row>
    <row r="1191" spans="1:36" s="213" customFormat="1" x14ac:dyDescent="0.25">
      <c r="A1191" s="212"/>
      <c r="C1191" s="212"/>
      <c r="K1191" s="212"/>
      <c r="L1191" s="212"/>
      <c r="M1191" s="212"/>
      <c r="R1191" s="214"/>
      <c r="AB1191" s="215"/>
      <c r="AG1191" s="215"/>
      <c r="AJ1191" s="215"/>
    </row>
    <row r="1192" spans="1:36" s="213" customFormat="1" x14ac:dyDescent="0.25">
      <c r="A1192" s="212"/>
      <c r="C1192" s="212"/>
      <c r="K1192" s="212"/>
      <c r="L1192" s="212"/>
      <c r="M1192" s="212"/>
      <c r="R1192" s="214"/>
      <c r="AB1192" s="215"/>
      <c r="AG1192" s="215"/>
      <c r="AJ1192" s="215"/>
    </row>
    <row r="1193" spans="1:36" s="213" customFormat="1" x14ac:dyDescent="0.25">
      <c r="A1193" s="212"/>
      <c r="C1193" s="212"/>
      <c r="K1193" s="212"/>
      <c r="L1193" s="212"/>
      <c r="M1193" s="212"/>
      <c r="R1193" s="214"/>
      <c r="AB1193" s="215"/>
      <c r="AG1193" s="215"/>
      <c r="AJ1193" s="215"/>
    </row>
    <row r="1194" spans="1:36" s="213" customFormat="1" x14ac:dyDescent="0.25">
      <c r="A1194" s="212"/>
      <c r="C1194" s="212"/>
      <c r="K1194" s="212"/>
      <c r="L1194" s="212"/>
      <c r="M1194" s="212"/>
      <c r="R1194" s="214"/>
      <c r="AB1194" s="215"/>
      <c r="AG1194" s="215"/>
      <c r="AJ1194" s="215"/>
    </row>
    <row r="1195" spans="1:36" s="213" customFormat="1" x14ac:dyDescent="0.25">
      <c r="A1195" s="212"/>
      <c r="C1195" s="212"/>
      <c r="K1195" s="212"/>
      <c r="L1195" s="212"/>
      <c r="M1195" s="212"/>
      <c r="R1195" s="214"/>
      <c r="AB1195" s="215"/>
      <c r="AG1195" s="215"/>
      <c r="AJ1195" s="215"/>
    </row>
    <row r="1196" spans="1:36" s="213" customFormat="1" x14ac:dyDescent="0.25">
      <c r="A1196" s="212"/>
      <c r="C1196" s="212"/>
      <c r="K1196" s="212"/>
      <c r="L1196" s="212"/>
      <c r="M1196" s="212"/>
      <c r="R1196" s="214"/>
      <c r="AB1196" s="215"/>
      <c r="AG1196" s="215"/>
      <c r="AJ1196" s="215"/>
    </row>
    <row r="1197" spans="1:36" s="213" customFormat="1" x14ac:dyDescent="0.25">
      <c r="A1197" s="212"/>
      <c r="C1197" s="212"/>
      <c r="K1197" s="212"/>
      <c r="L1197" s="212"/>
      <c r="M1197" s="212"/>
      <c r="R1197" s="214"/>
      <c r="AB1197" s="215"/>
      <c r="AG1197" s="215"/>
      <c r="AJ1197" s="215"/>
    </row>
    <row r="1198" spans="1:36" s="213" customFormat="1" x14ac:dyDescent="0.25">
      <c r="A1198" s="212"/>
      <c r="C1198" s="212"/>
      <c r="K1198" s="212"/>
      <c r="L1198" s="212"/>
      <c r="M1198" s="212"/>
      <c r="R1198" s="214"/>
      <c r="AB1198" s="215"/>
      <c r="AG1198" s="215"/>
      <c r="AJ1198" s="215"/>
    </row>
    <row r="1199" spans="1:36" s="213" customFormat="1" x14ac:dyDescent="0.25">
      <c r="A1199" s="212"/>
      <c r="C1199" s="212"/>
      <c r="K1199" s="212"/>
      <c r="L1199" s="212"/>
      <c r="M1199" s="212"/>
      <c r="R1199" s="214"/>
      <c r="AB1199" s="215"/>
      <c r="AG1199" s="215"/>
      <c r="AJ1199" s="215"/>
    </row>
    <row r="1200" spans="1:36" s="213" customFormat="1" x14ac:dyDescent="0.25">
      <c r="A1200" s="212"/>
      <c r="C1200" s="212"/>
      <c r="K1200" s="212"/>
      <c r="L1200" s="212"/>
      <c r="M1200" s="212"/>
      <c r="R1200" s="214"/>
      <c r="AB1200" s="215"/>
      <c r="AG1200" s="215"/>
      <c r="AJ1200" s="215"/>
    </row>
    <row r="1201" spans="1:36" s="213" customFormat="1" x14ac:dyDescent="0.25">
      <c r="A1201" s="212"/>
      <c r="C1201" s="212"/>
      <c r="K1201" s="212"/>
      <c r="L1201" s="212"/>
      <c r="M1201" s="212"/>
      <c r="R1201" s="214"/>
      <c r="AB1201" s="215"/>
      <c r="AG1201" s="215"/>
      <c r="AJ1201" s="215"/>
    </row>
    <row r="1202" spans="1:36" s="213" customFormat="1" x14ac:dyDescent="0.25">
      <c r="A1202" s="212"/>
      <c r="C1202" s="212"/>
      <c r="K1202" s="212"/>
      <c r="L1202" s="212"/>
      <c r="M1202" s="212"/>
      <c r="R1202" s="214"/>
      <c r="AB1202" s="215"/>
      <c r="AG1202" s="215"/>
      <c r="AJ1202" s="215"/>
    </row>
    <row r="1203" spans="1:36" s="213" customFormat="1" x14ac:dyDescent="0.25">
      <c r="A1203" s="212"/>
      <c r="C1203" s="212"/>
      <c r="K1203" s="212"/>
      <c r="L1203" s="212"/>
      <c r="M1203" s="212"/>
      <c r="R1203" s="214"/>
      <c r="AB1203" s="215"/>
      <c r="AG1203" s="215"/>
      <c r="AJ1203" s="215"/>
    </row>
    <row r="1204" spans="1:36" s="213" customFormat="1" x14ac:dyDescent="0.25">
      <c r="A1204" s="212"/>
      <c r="C1204" s="212"/>
      <c r="K1204" s="212"/>
      <c r="L1204" s="212"/>
      <c r="M1204" s="212"/>
      <c r="R1204" s="214"/>
      <c r="AB1204" s="215"/>
      <c r="AG1204" s="215"/>
      <c r="AJ1204" s="215"/>
    </row>
    <row r="1205" spans="1:36" s="213" customFormat="1" x14ac:dyDescent="0.25">
      <c r="A1205" s="212"/>
      <c r="C1205" s="212"/>
      <c r="K1205" s="212"/>
      <c r="L1205" s="212"/>
      <c r="M1205" s="212"/>
      <c r="R1205" s="214"/>
      <c r="AB1205" s="215"/>
      <c r="AG1205" s="215"/>
      <c r="AJ1205" s="215"/>
    </row>
    <row r="1206" spans="1:36" s="213" customFormat="1" x14ac:dyDescent="0.25">
      <c r="A1206" s="212"/>
      <c r="C1206" s="212"/>
      <c r="K1206" s="212"/>
      <c r="L1206" s="212"/>
      <c r="M1206" s="212"/>
      <c r="R1206" s="214"/>
      <c r="AB1206" s="215"/>
      <c r="AG1206" s="215"/>
      <c r="AJ1206" s="215"/>
    </row>
    <row r="1207" spans="1:36" s="213" customFormat="1" x14ac:dyDescent="0.25">
      <c r="A1207" s="212"/>
      <c r="C1207" s="212"/>
      <c r="K1207" s="212"/>
      <c r="L1207" s="212"/>
      <c r="M1207" s="212"/>
      <c r="R1207" s="214"/>
      <c r="AB1207" s="215"/>
      <c r="AG1207" s="215"/>
      <c r="AJ1207" s="215"/>
    </row>
    <row r="1208" spans="1:36" s="213" customFormat="1" x14ac:dyDescent="0.25">
      <c r="A1208" s="212"/>
      <c r="C1208" s="212"/>
      <c r="K1208" s="212"/>
      <c r="L1208" s="212"/>
      <c r="M1208" s="212"/>
      <c r="R1208" s="214"/>
      <c r="AB1208" s="215"/>
      <c r="AG1208" s="215"/>
      <c r="AJ1208" s="215"/>
    </row>
    <row r="1209" spans="1:36" s="213" customFormat="1" x14ac:dyDescent="0.25">
      <c r="A1209" s="212"/>
      <c r="C1209" s="212"/>
      <c r="K1209" s="212"/>
      <c r="L1209" s="212"/>
      <c r="M1209" s="212"/>
      <c r="R1209" s="214"/>
      <c r="AB1209" s="215"/>
      <c r="AG1209" s="215"/>
      <c r="AJ1209" s="215"/>
    </row>
    <row r="1210" spans="1:36" s="213" customFormat="1" x14ac:dyDescent="0.25">
      <c r="A1210" s="212"/>
      <c r="C1210" s="212"/>
      <c r="K1210" s="212"/>
      <c r="L1210" s="212"/>
      <c r="M1210" s="212"/>
      <c r="R1210" s="214"/>
      <c r="AB1210" s="215"/>
      <c r="AG1210" s="215"/>
      <c r="AJ1210" s="215"/>
    </row>
    <row r="1211" spans="1:36" s="213" customFormat="1" x14ac:dyDescent="0.25">
      <c r="A1211" s="212"/>
      <c r="C1211" s="212"/>
      <c r="K1211" s="212"/>
      <c r="L1211" s="212"/>
      <c r="M1211" s="212"/>
      <c r="R1211" s="214"/>
      <c r="AB1211" s="215"/>
      <c r="AG1211" s="215"/>
      <c r="AJ1211" s="215"/>
    </row>
    <row r="1212" spans="1:36" s="213" customFormat="1" x14ac:dyDescent="0.25">
      <c r="A1212" s="212"/>
      <c r="C1212" s="212"/>
      <c r="K1212" s="212"/>
      <c r="L1212" s="212"/>
      <c r="M1212" s="212"/>
      <c r="R1212" s="214"/>
      <c r="AB1212" s="215"/>
      <c r="AG1212" s="215"/>
      <c r="AJ1212" s="215"/>
    </row>
    <row r="1213" spans="1:36" s="213" customFormat="1" x14ac:dyDescent="0.25">
      <c r="A1213" s="212"/>
      <c r="C1213" s="212"/>
      <c r="K1213" s="212"/>
      <c r="L1213" s="212"/>
      <c r="M1213" s="212"/>
      <c r="R1213" s="214"/>
      <c r="AB1213" s="215"/>
      <c r="AG1213" s="215"/>
      <c r="AJ1213" s="215"/>
    </row>
    <row r="1214" spans="1:36" s="213" customFormat="1" x14ac:dyDescent="0.25">
      <c r="A1214" s="212"/>
      <c r="C1214" s="212"/>
      <c r="K1214" s="212"/>
      <c r="L1214" s="212"/>
      <c r="M1214" s="212"/>
      <c r="R1214" s="214"/>
      <c r="AB1214" s="215"/>
      <c r="AG1214" s="215"/>
      <c r="AJ1214" s="215"/>
    </row>
    <row r="1215" spans="1:36" s="213" customFormat="1" x14ac:dyDescent="0.25">
      <c r="A1215" s="212"/>
      <c r="C1215" s="212"/>
      <c r="K1215" s="212"/>
      <c r="L1215" s="212"/>
      <c r="M1215" s="212"/>
      <c r="R1215" s="214"/>
      <c r="AB1215" s="215"/>
      <c r="AG1215" s="215"/>
      <c r="AJ1215" s="215"/>
    </row>
    <row r="1216" spans="1:36" s="213" customFormat="1" x14ac:dyDescent="0.25">
      <c r="A1216" s="212"/>
      <c r="C1216" s="212"/>
      <c r="K1216" s="212"/>
      <c r="L1216" s="212"/>
      <c r="M1216" s="212"/>
      <c r="R1216" s="214"/>
      <c r="AB1216" s="215"/>
      <c r="AG1216" s="215"/>
      <c r="AJ1216" s="215"/>
    </row>
    <row r="1217" spans="1:36" s="213" customFormat="1" x14ac:dyDescent="0.25">
      <c r="A1217" s="212"/>
      <c r="C1217" s="212"/>
      <c r="K1217" s="212"/>
      <c r="L1217" s="212"/>
      <c r="M1217" s="212"/>
      <c r="R1217" s="214"/>
      <c r="AB1217" s="215"/>
      <c r="AG1217" s="215"/>
      <c r="AJ1217" s="215"/>
    </row>
    <row r="1218" spans="1:36" s="213" customFormat="1" x14ac:dyDescent="0.25">
      <c r="A1218" s="212"/>
      <c r="C1218" s="212"/>
      <c r="K1218" s="212"/>
      <c r="L1218" s="212"/>
      <c r="M1218" s="212"/>
      <c r="R1218" s="214"/>
      <c r="AB1218" s="215"/>
      <c r="AG1218" s="215"/>
      <c r="AJ1218" s="215"/>
    </row>
    <row r="1219" spans="1:36" s="213" customFormat="1" x14ac:dyDescent="0.25">
      <c r="A1219" s="212"/>
      <c r="C1219" s="212"/>
      <c r="K1219" s="212"/>
      <c r="L1219" s="212"/>
      <c r="M1219" s="212"/>
      <c r="R1219" s="214"/>
      <c r="AB1219" s="215"/>
      <c r="AG1219" s="215"/>
      <c r="AJ1219" s="215"/>
    </row>
    <row r="1220" spans="1:36" s="213" customFormat="1" x14ac:dyDescent="0.25">
      <c r="A1220" s="212"/>
      <c r="C1220" s="212"/>
      <c r="K1220" s="212"/>
      <c r="L1220" s="212"/>
      <c r="M1220" s="212"/>
      <c r="R1220" s="214"/>
      <c r="AB1220" s="215"/>
      <c r="AG1220" s="215"/>
      <c r="AJ1220" s="215"/>
    </row>
    <row r="1221" spans="1:36" s="213" customFormat="1" x14ac:dyDescent="0.25">
      <c r="A1221" s="212"/>
      <c r="C1221" s="212"/>
      <c r="K1221" s="212"/>
      <c r="L1221" s="212"/>
      <c r="M1221" s="212"/>
      <c r="R1221" s="214"/>
      <c r="AB1221" s="215"/>
      <c r="AG1221" s="215"/>
      <c r="AJ1221" s="215"/>
    </row>
    <row r="1222" spans="1:36" s="213" customFormat="1" x14ac:dyDescent="0.25">
      <c r="A1222" s="212"/>
      <c r="C1222" s="212"/>
      <c r="K1222" s="212"/>
      <c r="L1222" s="212"/>
      <c r="M1222" s="212"/>
      <c r="R1222" s="214"/>
      <c r="AB1222" s="215"/>
      <c r="AG1222" s="215"/>
      <c r="AJ1222" s="215"/>
    </row>
    <row r="1223" spans="1:36" s="213" customFormat="1" x14ac:dyDescent="0.25">
      <c r="A1223" s="212"/>
      <c r="C1223" s="212"/>
      <c r="K1223" s="212"/>
      <c r="L1223" s="212"/>
      <c r="M1223" s="212"/>
      <c r="R1223" s="214"/>
      <c r="AB1223" s="215"/>
      <c r="AG1223" s="215"/>
      <c r="AJ1223" s="215"/>
    </row>
    <row r="1224" spans="1:36" s="213" customFormat="1" x14ac:dyDescent="0.25">
      <c r="A1224" s="212"/>
      <c r="C1224" s="212"/>
      <c r="K1224" s="212"/>
      <c r="L1224" s="212"/>
      <c r="M1224" s="212"/>
      <c r="R1224" s="214"/>
      <c r="AB1224" s="215"/>
      <c r="AG1224" s="215"/>
      <c r="AJ1224" s="215"/>
    </row>
    <row r="1225" spans="1:36" s="213" customFormat="1" x14ac:dyDescent="0.25">
      <c r="A1225" s="212"/>
      <c r="C1225" s="212"/>
      <c r="K1225" s="212"/>
      <c r="L1225" s="212"/>
      <c r="M1225" s="212"/>
      <c r="R1225" s="214"/>
      <c r="AB1225" s="215"/>
      <c r="AG1225" s="215"/>
      <c r="AJ1225" s="215"/>
    </row>
    <row r="1226" spans="1:36" s="213" customFormat="1" x14ac:dyDescent="0.25">
      <c r="A1226" s="212"/>
      <c r="C1226" s="212"/>
      <c r="K1226" s="212"/>
      <c r="L1226" s="212"/>
      <c r="M1226" s="212"/>
      <c r="R1226" s="214"/>
      <c r="AB1226" s="215"/>
      <c r="AG1226" s="215"/>
      <c r="AJ1226" s="215"/>
    </row>
    <row r="1227" spans="1:36" s="213" customFormat="1" x14ac:dyDescent="0.25">
      <c r="A1227" s="212"/>
      <c r="C1227" s="212"/>
      <c r="K1227" s="212"/>
      <c r="L1227" s="212"/>
      <c r="M1227" s="212"/>
      <c r="R1227" s="214"/>
      <c r="AB1227" s="215"/>
      <c r="AG1227" s="215"/>
      <c r="AJ1227" s="215"/>
    </row>
    <row r="1228" spans="1:36" s="213" customFormat="1" x14ac:dyDescent="0.25">
      <c r="A1228" s="212"/>
      <c r="C1228" s="212"/>
      <c r="K1228" s="212"/>
      <c r="L1228" s="212"/>
      <c r="M1228" s="212"/>
      <c r="R1228" s="214"/>
      <c r="AB1228" s="215"/>
      <c r="AG1228" s="215"/>
      <c r="AJ1228" s="215"/>
    </row>
    <row r="1229" spans="1:36" s="213" customFormat="1" x14ac:dyDescent="0.25">
      <c r="A1229" s="212"/>
      <c r="C1229" s="212"/>
      <c r="K1229" s="212"/>
      <c r="L1229" s="212"/>
      <c r="M1229" s="212"/>
      <c r="R1229" s="214"/>
      <c r="AB1229" s="215"/>
      <c r="AG1229" s="215"/>
      <c r="AJ1229" s="215"/>
    </row>
    <row r="1230" spans="1:36" s="213" customFormat="1" x14ac:dyDescent="0.25">
      <c r="A1230" s="212"/>
      <c r="C1230" s="212"/>
      <c r="K1230" s="212"/>
      <c r="L1230" s="212"/>
      <c r="M1230" s="212"/>
      <c r="R1230" s="214"/>
      <c r="AB1230" s="215"/>
      <c r="AG1230" s="215"/>
      <c r="AJ1230" s="215"/>
    </row>
    <row r="1231" spans="1:36" s="213" customFormat="1" x14ac:dyDescent="0.25">
      <c r="A1231" s="212"/>
      <c r="C1231" s="212"/>
      <c r="K1231" s="212"/>
      <c r="L1231" s="212"/>
      <c r="M1231" s="212"/>
      <c r="R1231" s="214"/>
      <c r="AB1231" s="215"/>
      <c r="AG1231" s="215"/>
      <c r="AJ1231" s="215"/>
    </row>
    <row r="1232" spans="1:36" s="213" customFormat="1" x14ac:dyDescent="0.25">
      <c r="A1232" s="212"/>
      <c r="C1232" s="212"/>
      <c r="K1232" s="212"/>
      <c r="L1232" s="212"/>
      <c r="M1232" s="212"/>
      <c r="R1232" s="214"/>
      <c r="AB1232" s="215"/>
      <c r="AG1232" s="215"/>
      <c r="AJ1232" s="215"/>
    </row>
    <row r="1233" spans="1:36" s="213" customFormat="1" x14ac:dyDescent="0.25">
      <c r="A1233" s="212"/>
      <c r="C1233" s="212"/>
      <c r="K1233" s="212"/>
      <c r="L1233" s="212"/>
      <c r="M1233" s="212"/>
      <c r="R1233" s="214"/>
      <c r="AB1233" s="215"/>
      <c r="AG1233" s="215"/>
      <c r="AJ1233" s="215"/>
    </row>
    <row r="1234" spans="1:36" s="213" customFormat="1" x14ac:dyDescent="0.25">
      <c r="A1234" s="212"/>
      <c r="C1234" s="212"/>
      <c r="K1234" s="212"/>
      <c r="L1234" s="212"/>
      <c r="M1234" s="212"/>
      <c r="R1234" s="214"/>
      <c r="AB1234" s="215"/>
      <c r="AG1234" s="215"/>
      <c r="AJ1234" s="215"/>
    </row>
    <row r="1235" spans="1:36" s="213" customFormat="1" x14ac:dyDescent="0.25">
      <c r="A1235" s="212"/>
      <c r="C1235" s="212"/>
      <c r="K1235" s="212"/>
      <c r="L1235" s="212"/>
      <c r="M1235" s="212"/>
      <c r="R1235" s="214"/>
      <c r="AB1235" s="215"/>
      <c r="AG1235" s="215"/>
      <c r="AJ1235" s="215"/>
    </row>
    <row r="1236" spans="1:36" s="213" customFormat="1" x14ac:dyDescent="0.25">
      <c r="A1236" s="212"/>
      <c r="C1236" s="212"/>
      <c r="K1236" s="212"/>
      <c r="L1236" s="212"/>
      <c r="M1236" s="212"/>
      <c r="R1236" s="214"/>
      <c r="AB1236" s="215"/>
      <c r="AG1236" s="215"/>
      <c r="AJ1236" s="215"/>
    </row>
    <row r="1237" spans="1:36" s="213" customFormat="1" x14ac:dyDescent="0.25">
      <c r="A1237" s="212"/>
      <c r="C1237" s="212"/>
      <c r="K1237" s="212"/>
      <c r="L1237" s="212"/>
      <c r="M1237" s="212"/>
      <c r="R1237" s="214"/>
      <c r="AB1237" s="215"/>
      <c r="AG1237" s="215"/>
      <c r="AJ1237" s="215"/>
    </row>
    <row r="1238" spans="1:36" s="213" customFormat="1" x14ac:dyDescent="0.25">
      <c r="A1238" s="212"/>
      <c r="C1238" s="212"/>
      <c r="K1238" s="212"/>
      <c r="L1238" s="212"/>
      <c r="M1238" s="212"/>
      <c r="R1238" s="214"/>
      <c r="AB1238" s="215"/>
      <c r="AG1238" s="215"/>
      <c r="AJ1238" s="215"/>
    </row>
    <row r="1239" spans="1:36" s="213" customFormat="1" x14ac:dyDescent="0.25">
      <c r="A1239" s="212"/>
      <c r="C1239" s="212"/>
      <c r="K1239" s="212"/>
      <c r="L1239" s="212"/>
      <c r="M1239" s="212"/>
      <c r="R1239" s="214"/>
      <c r="AB1239" s="215"/>
      <c r="AG1239" s="215"/>
      <c r="AJ1239" s="215"/>
    </row>
    <row r="1240" spans="1:36" s="213" customFormat="1" x14ac:dyDescent="0.25">
      <c r="A1240" s="212"/>
      <c r="C1240" s="212"/>
      <c r="K1240" s="212"/>
      <c r="L1240" s="212"/>
      <c r="M1240" s="212"/>
      <c r="R1240" s="214"/>
      <c r="AB1240" s="215"/>
      <c r="AG1240" s="215"/>
      <c r="AJ1240" s="215"/>
    </row>
    <row r="1241" spans="1:36" s="213" customFormat="1" x14ac:dyDescent="0.25">
      <c r="A1241" s="212"/>
      <c r="C1241" s="212"/>
      <c r="K1241" s="212"/>
      <c r="L1241" s="212"/>
      <c r="M1241" s="212"/>
      <c r="R1241" s="214"/>
      <c r="AB1241" s="215"/>
      <c r="AG1241" s="215"/>
      <c r="AJ1241" s="215"/>
    </row>
    <row r="1242" spans="1:36" s="213" customFormat="1" x14ac:dyDescent="0.25">
      <c r="A1242" s="212"/>
      <c r="C1242" s="212"/>
      <c r="K1242" s="212"/>
      <c r="L1242" s="212"/>
      <c r="M1242" s="212"/>
      <c r="R1242" s="214"/>
      <c r="AB1242" s="215"/>
      <c r="AG1242" s="215"/>
      <c r="AJ1242" s="215"/>
    </row>
    <row r="1243" spans="1:36" s="213" customFormat="1" x14ac:dyDescent="0.25">
      <c r="A1243" s="212"/>
      <c r="C1243" s="212"/>
      <c r="K1243" s="212"/>
      <c r="L1243" s="212"/>
      <c r="M1243" s="212"/>
      <c r="R1243" s="214"/>
      <c r="AB1243" s="215"/>
      <c r="AG1243" s="215"/>
      <c r="AJ1243" s="215"/>
    </row>
    <row r="1244" spans="1:36" s="213" customFormat="1" x14ac:dyDescent="0.25">
      <c r="A1244" s="212"/>
      <c r="C1244" s="212"/>
      <c r="K1244" s="212"/>
      <c r="L1244" s="212"/>
      <c r="M1244" s="212"/>
      <c r="R1244" s="214"/>
      <c r="AB1244" s="215"/>
      <c r="AG1244" s="215"/>
      <c r="AJ1244" s="215"/>
    </row>
    <row r="1245" spans="1:36" s="213" customFormat="1" x14ac:dyDescent="0.25">
      <c r="A1245" s="212"/>
      <c r="C1245" s="212"/>
      <c r="K1245" s="212"/>
      <c r="L1245" s="212"/>
      <c r="M1245" s="212"/>
      <c r="R1245" s="214"/>
      <c r="AB1245" s="215"/>
      <c r="AG1245" s="215"/>
      <c r="AJ1245" s="215"/>
    </row>
    <row r="1246" spans="1:36" s="213" customFormat="1" x14ac:dyDescent="0.25">
      <c r="A1246" s="212"/>
      <c r="C1246" s="212"/>
      <c r="K1246" s="212"/>
      <c r="L1246" s="212"/>
      <c r="M1246" s="212"/>
      <c r="R1246" s="214"/>
      <c r="AB1246" s="215"/>
      <c r="AG1246" s="215"/>
      <c r="AJ1246" s="215"/>
    </row>
    <row r="1247" spans="1:36" s="213" customFormat="1" x14ac:dyDescent="0.25">
      <c r="A1247" s="212"/>
      <c r="C1247" s="212"/>
      <c r="K1247" s="212"/>
      <c r="L1247" s="212"/>
      <c r="M1247" s="212"/>
      <c r="R1247" s="214"/>
      <c r="AB1247" s="215"/>
      <c r="AG1247" s="215"/>
      <c r="AJ1247" s="215"/>
    </row>
    <row r="1248" spans="1:36" s="213" customFormat="1" x14ac:dyDescent="0.25">
      <c r="A1248" s="212"/>
      <c r="C1248" s="212"/>
      <c r="K1248" s="212"/>
      <c r="L1248" s="212"/>
      <c r="M1248" s="212"/>
      <c r="R1248" s="214"/>
      <c r="AB1248" s="215"/>
      <c r="AG1248" s="215"/>
      <c r="AJ1248" s="215"/>
    </row>
    <row r="1249" spans="1:36" s="213" customFormat="1" x14ac:dyDescent="0.25">
      <c r="A1249" s="212"/>
      <c r="C1249" s="212"/>
      <c r="K1249" s="212"/>
      <c r="L1249" s="212"/>
      <c r="M1249" s="212"/>
      <c r="R1249" s="214"/>
      <c r="AB1249" s="215"/>
      <c r="AG1249" s="215"/>
      <c r="AJ1249" s="215"/>
    </row>
    <row r="1250" spans="1:36" s="213" customFormat="1" x14ac:dyDescent="0.25">
      <c r="A1250" s="212"/>
      <c r="C1250" s="212"/>
      <c r="K1250" s="212"/>
      <c r="L1250" s="212"/>
      <c r="M1250" s="212"/>
      <c r="R1250" s="214"/>
      <c r="AB1250" s="215"/>
      <c r="AG1250" s="215"/>
      <c r="AJ1250" s="215"/>
    </row>
    <row r="1251" spans="1:36" s="213" customFormat="1" x14ac:dyDescent="0.25">
      <c r="A1251" s="212"/>
      <c r="C1251" s="212"/>
      <c r="K1251" s="212"/>
      <c r="L1251" s="212"/>
      <c r="M1251" s="212"/>
      <c r="R1251" s="214"/>
      <c r="AB1251" s="215"/>
      <c r="AG1251" s="215"/>
      <c r="AJ1251" s="215"/>
    </row>
    <row r="1252" spans="1:36" s="213" customFormat="1" x14ac:dyDescent="0.25">
      <c r="A1252" s="212"/>
      <c r="C1252" s="212"/>
      <c r="K1252" s="212"/>
      <c r="L1252" s="212"/>
      <c r="M1252" s="212"/>
      <c r="R1252" s="214"/>
      <c r="AB1252" s="215"/>
      <c r="AG1252" s="215"/>
      <c r="AJ1252" s="215"/>
    </row>
    <row r="1253" spans="1:36" s="213" customFormat="1" x14ac:dyDescent="0.25">
      <c r="A1253" s="212"/>
      <c r="C1253" s="212"/>
      <c r="K1253" s="212"/>
      <c r="L1253" s="212"/>
      <c r="M1253" s="212"/>
      <c r="R1253" s="214"/>
      <c r="AB1253" s="215"/>
      <c r="AG1253" s="215"/>
      <c r="AJ1253" s="215"/>
    </row>
    <row r="1254" spans="1:36" s="213" customFormat="1" x14ac:dyDescent="0.25">
      <c r="A1254" s="212"/>
      <c r="C1254" s="212"/>
      <c r="K1254" s="212"/>
      <c r="L1254" s="212"/>
      <c r="M1254" s="212"/>
      <c r="R1254" s="214"/>
      <c r="AB1254" s="215"/>
      <c r="AG1254" s="215"/>
      <c r="AJ1254" s="215"/>
    </row>
    <row r="1255" spans="1:36" s="213" customFormat="1" x14ac:dyDescent="0.25">
      <c r="A1255" s="212"/>
      <c r="C1255" s="212"/>
      <c r="K1255" s="212"/>
      <c r="L1255" s="212"/>
      <c r="M1255" s="212"/>
      <c r="R1255" s="214"/>
      <c r="AB1255" s="215"/>
      <c r="AG1255" s="215"/>
      <c r="AJ1255" s="215"/>
    </row>
    <row r="1256" spans="1:36" s="213" customFormat="1" x14ac:dyDescent="0.25">
      <c r="A1256" s="212"/>
      <c r="C1256" s="212"/>
      <c r="K1256" s="212"/>
      <c r="L1256" s="212"/>
      <c r="M1256" s="212"/>
      <c r="R1256" s="214"/>
      <c r="AB1256" s="215"/>
      <c r="AG1256" s="215"/>
      <c r="AJ1256" s="215"/>
    </row>
    <row r="1257" spans="1:36" s="213" customFormat="1" x14ac:dyDescent="0.25">
      <c r="A1257" s="212"/>
      <c r="C1257" s="212"/>
      <c r="K1257" s="212"/>
      <c r="L1257" s="212"/>
      <c r="M1257" s="212"/>
      <c r="R1257" s="214"/>
      <c r="AB1257" s="215"/>
      <c r="AG1257" s="215"/>
      <c r="AJ1257" s="215"/>
    </row>
    <row r="1258" spans="1:36" s="213" customFormat="1" x14ac:dyDescent="0.25">
      <c r="A1258" s="212"/>
      <c r="C1258" s="212"/>
      <c r="K1258" s="212"/>
      <c r="L1258" s="212"/>
      <c r="M1258" s="212"/>
      <c r="R1258" s="214"/>
      <c r="AB1258" s="215"/>
      <c r="AG1258" s="215"/>
      <c r="AJ1258" s="215"/>
    </row>
    <row r="1259" spans="1:36" s="213" customFormat="1" x14ac:dyDescent="0.25">
      <c r="A1259" s="212"/>
      <c r="C1259" s="212"/>
      <c r="K1259" s="212"/>
      <c r="L1259" s="212"/>
      <c r="M1259" s="212"/>
      <c r="R1259" s="214"/>
      <c r="AB1259" s="215"/>
      <c r="AG1259" s="215"/>
      <c r="AJ1259" s="215"/>
    </row>
    <row r="1260" spans="1:36" s="213" customFormat="1" x14ac:dyDescent="0.25">
      <c r="A1260" s="212"/>
      <c r="C1260" s="212"/>
      <c r="K1260" s="212"/>
      <c r="L1260" s="212"/>
      <c r="M1260" s="212"/>
      <c r="R1260" s="214"/>
      <c r="AB1260" s="215"/>
      <c r="AG1260" s="215"/>
      <c r="AJ1260" s="215"/>
    </row>
    <row r="1261" spans="1:36" s="213" customFormat="1" x14ac:dyDescent="0.25">
      <c r="A1261" s="212"/>
      <c r="C1261" s="212"/>
      <c r="K1261" s="212"/>
      <c r="L1261" s="212"/>
      <c r="M1261" s="212"/>
      <c r="R1261" s="214"/>
      <c r="AB1261" s="215"/>
      <c r="AG1261" s="215"/>
      <c r="AJ1261" s="215"/>
    </row>
    <row r="1262" spans="1:36" s="213" customFormat="1" x14ac:dyDescent="0.25">
      <c r="A1262" s="212"/>
      <c r="C1262" s="212"/>
      <c r="K1262" s="212"/>
      <c r="L1262" s="212"/>
      <c r="M1262" s="212"/>
      <c r="R1262" s="214"/>
      <c r="AB1262" s="215"/>
      <c r="AG1262" s="215"/>
      <c r="AJ1262" s="215"/>
    </row>
    <row r="1263" spans="1:36" s="213" customFormat="1" x14ac:dyDescent="0.25">
      <c r="A1263" s="212"/>
      <c r="C1263" s="212"/>
      <c r="K1263" s="212"/>
      <c r="L1263" s="212"/>
      <c r="M1263" s="212"/>
      <c r="R1263" s="214"/>
      <c r="AB1263" s="215"/>
      <c r="AG1263" s="215"/>
      <c r="AJ1263" s="215"/>
    </row>
    <row r="1264" spans="1:36" s="213" customFormat="1" x14ac:dyDescent="0.25">
      <c r="A1264" s="212"/>
      <c r="C1264" s="212"/>
      <c r="K1264" s="212"/>
      <c r="L1264" s="212"/>
      <c r="M1264" s="212"/>
      <c r="R1264" s="214"/>
      <c r="AB1264" s="215"/>
      <c r="AG1264" s="215"/>
      <c r="AJ1264" s="215"/>
    </row>
    <row r="1265" spans="1:36" s="213" customFormat="1" x14ac:dyDescent="0.25">
      <c r="A1265" s="212"/>
      <c r="C1265" s="212"/>
      <c r="K1265" s="212"/>
      <c r="L1265" s="212"/>
      <c r="M1265" s="212"/>
      <c r="R1265" s="214"/>
      <c r="AB1265" s="215"/>
      <c r="AG1265" s="215"/>
      <c r="AJ1265" s="215"/>
    </row>
    <row r="1266" spans="1:36" s="213" customFormat="1" x14ac:dyDescent="0.25">
      <c r="A1266" s="212"/>
      <c r="C1266" s="212"/>
      <c r="K1266" s="212"/>
      <c r="L1266" s="212"/>
      <c r="M1266" s="212"/>
      <c r="R1266" s="214"/>
      <c r="AB1266" s="215"/>
      <c r="AG1266" s="215"/>
      <c r="AJ1266" s="215"/>
    </row>
    <row r="1267" spans="1:36" s="213" customFormat="1" x14ac:dyDescent="0.25">
      <c r="A1267" s="212"/>
      <c r="C1267" s="212"/>
      <c r="K1267" s="212"/>
      <c r="L1267" s="212"/>
      <c r="M1267" s="212"/>
      <c r="R1267" s="214"/>
      <c r="AB1267" s="215"/>
      <c r="AG1267" s="215"/>
      <c r="AJ1267" s="215"/>
    </row>
    <row r="1268" spans="1:36" s="213" customFormat="1" x14ac:dyDescent="0.25">
      <c r="A1268" s="212"/>
      <c r="C1268" s="212"/>
      <c r="K1268" s="212"/>
      <c r="L1268" s="212"/>
      <c r="M1268" s="212"/>
      <c r="R1268" s="214"/>
      <c r="AB1268" s="215"/>
      <c r="AG1268" s="215"/>
      <c r="AJ1268" s="215"/>
    </row>
    <row r="1269" spans="1:36" s="213" customFormat="1" x14ac:dyDescent="0.25">
      <c r="A1269" s="212"/>
      <c r="C1269" s="212"/>
      <c r="K1269" s="212"/>
      <c r="L1269" s="212"/>
      <c r="M1269" s="212"/>
      <c r="R1269" s="214"/>
      <c r="AB1269" s="215"/>
      <c r="AG1269" s="215"/>
      <c r="AJ1269" s="215"/>
    </row>
    <row r="1270" spans="1:36" s="213" customFormat="1" x14ac:dyDescent="0.25">
      <c r="A1270" s="212"/>
      <c r="C1270" s="212"/>
      <c r="K1270" s="212"/>
      <c r="L1270" s="212"/>
      <c r="M1270" s="212"/>
      <c r="R1270" s="214"/>
      <c r="AB1270" s="215"/>
      <c r="AG1270" s="215"/>
      <c r="AJ1270" s="215"/>
    </row>
    <row r="1271" spans="1:36" s="213" customFormat="1" x14ac:dyDescent="0.25">
      <c r="A1271" s="212"/>
      <c r="C1271" s="212"/>
      <c r="K1271" s="212"/>
      <c r="L1271" s="212"/>
      <c r="M1271" s="212"/>
      <c r="R1271" s="214"/>
      <c r="AB1271" s="215"/>
      <c r="AG1271" s="215"/>
      <c r="AJ1271" s="215"/>
    </row>
    <row r="1272" spans="1:36" s="213" customFormat="1" x14ac:dyDescent="0.25">
      <c r="A1272" s="212"/>
      <c r="C1272" s="212"/>
      <c r="K1272" s="212"/>
      <c r="L1272" s="212"/>
      <c r="M1272" s="212"/>
      <c r="R1272" s="214"/>
      <c r="AB1272" s="215"/>
      <c r="AG1272" s="215"/>
      <c r="AJ1272" s="215"/>
    </row>
    <row r="1273" spans="1:36" s="213" customFormat="1" x14ac:dyDescent="0.25">
      <c r="A1273" s="212"/>
      <c r="C1273" s="212"/>
      <c r="K1273" s="212"/>
      <c r="L1273" s="212"/>
      <c r="M1273" s="212"/>
      <c r="R1273" s="214"/>
      <c r="AB1273" s="215"/>
      <c r="AG1273" s="215"/>
      <c r="AJ1273" s="215"/>
    </row>
    <row r="1274" spans="1:36" s="213" customFormat="1" x14ac:dyDescent="0.25">
      <c r="A1274" s="212"/>
      <c r="C1274" s="212"/>
      <c r="K1274" s="212"/>
      <c r="L1274" s="212"/>
      <c r="M1274" s="212"/>
      <c r="R1274" s="214"/>
      <c r="AB1274" s="215"/>
      <c r="AG1274" s="215"/>
      <c r="AJ1274" s="215"/>
    </row>
    <row r="1275" spans="1:36" s="213" customFormat="1" x14ac:dyDescent="0.25">
      <c r="A1275" s="212"/>
      <c r="C1275" s="212"/>
      <c r="K1275" s="212"/>
      <c r="L1275" s="212"/>
      <c r="M1275" s="212"/>
      <c r="R1275" s="214"/>
      <c r="AB1275" s="215"/>
      <c r="AG1275" s="215"/>
      <c r="AJ1275" s="215"/>
    </row>
    <row r="1276" spans="1:36" s="213" customFormat="1" x14ac:dyDescent="0.25">
      <c r="A1276" s="212"/>
      <c r="C1276" s="212"/>
      <c r="K1276" s="212"/>
      <c r="L1276" s="212"/>
      <c r="M1276" s="212"/>
      <c r="R1276" s="214"/>
      <c r="AB1276" s="215"/>
      <c r="AG1276" s="215"/>
      <c r="AJ1276" s="215"/>
    </row>
    <row r="1277" spans="1:36" s="213" customFormat="1" x14ac:dyDescent="0.25">
      <c r="A1277" s="212"/>
      <c r="C1277" s="212"/>
      <c r="K1277" s="212"/>
      <c r="L1277" s="212"/>
      <c r="M1277" s="212"/>
      <c r="R1277" s="214"/>
      <c r="AB1277" s="215"/>
      <c r="AG1277" s="215"/>
      <c r="AJ1277" s="215"/>
    </row>
    <row r="1278" spans="1:36" s="213" customFormat="1" x14ac:dyDescent="0.25">
      <c r="A1278" s="212"/>
      <c r="C1278" s="212"/>
      <c r="K1278" s="212"/>
      <c r="L1278" s="212"/>
      <c r="M1278" s="212"/>
      <c r="R1278" s="214"/>
      <c r="AB1278" s="215"/>
      <c r="AG1278" s="215"/>
      <c r="AJ1278" s="215"/>
    </row>
    <row r="1279" spans="1:36" s="213" customFormat="1" x14ac:dyDescent="0.25">
      <c r="A1279" s="212"/>
      <c r="C1279" s="212"/>
      <c r="K1279" s="212"/>
      <c r="L1279" s="212"/>
      <c r="M1279" s="212"/>
      <c r="R1279" s="214"/>
      <c r="AB1279" s="215"/>
      <c r="AG1279" s="215"/>
      <c r="AJ1279" s="215"/>
    </row>
    <row r="1280" spans="1:36" s="213" customFormat="1" x14ac:dyDescent="0.25">
      <c r="A1280" s="212"/>
      <c r="C1280" s="212"/>
      <c r="K1280" s="212"/>
      <c r="L1280" s="212"/>
      <c r="M1280" s="212"/>
      <c r="R1280" s="214"/>
      <c r="AB1280" s="215"/>
      <c r="AG1280" s="215"/>
      <c r="AJ1280" s="215"/>
    </row>
    <row r="1281" spans="1:36" s="213" customFormat="1" x14ac:dyDescent="0.25">
      <c r="A1281" s="212"/>
      <c r="C1281" s="212"/>
      <c r="K1281" s="212"/>
      <c r="L1281" s="212"/>
      <c r="M1281" s="212"/>
      <c r="R1281" s="214"/>
      <c r="AB1281" s="215"/>
      <c r="AG1281" s="215"/>
      <c r="AJ1281" s="215"/>
    </row>
    <row r="1282" spans="1:36" s="213" customFormat="1" x14ac:dyDescent="0.25">
      <c r="A1282" s="212"/>
      <c r="C1282" s="212"/>
      <c r="K1282" s="212"/>
      <c r="L1282" s="212"/>
      <c r="M1282" s="212"/>
      <c r="R1282" s="214"/>
      <c r="AB1282" s="215"/>
      <c r="AG1282" s="215"/>
      <c r="AJ1282" s="215"/>
    </row>
    <row r="1283" spans="1:36" s="213" customFormat="1" x14ac:dyDescent="0.25">
      <c r="A1283" s="212"/>
      <c r="C1283" s="212"/>
      <c r="K1283" s="212"/>
      <c r="L1283" s="212"/>
      <c r="M1283" s="212"/>
      <c r="R1283" s="214"/>
      <c r="AB1283" s="215"/>
      <c r="AG1283" s="215"/>
      <c r="AJ1283" s="215"/>
    </row>
    <row r="1284" spans="1:36" s="213" customFormat="1" x14ac:dyDescent="0.25">
      <c r="A1284" s="212"/>
      <c r="C1284" s="212"/>
      <c r="K1284" s="212"/>
      <c r="L1284" s="212"/>
      <c r="M1284" s="212"/>
      <c r="R1284" s="214"/>
      <c r="AB1284" s="215"/>
      <c r="AG1284" s="215"/>
      <c r="AJ1284" s="215"/>
    </row>
    <row r="1285" spans="1:36" s="213" customFormat="1" x14ac:dyDescent="0.25">
      <c r="A1285" s="212"/>
      <c r="C1285" s="212"/>
      <c r="K1285" s="212"/>
      <c r="L1285" s="212"/>
      <c r="M1285" s="212"/>
      <c r="R1285" s="214"/>
      <c r="AB1285" s="215"/>
      <c r="AG1285" s="215"/>
      <c r="AJ1285" s="215"/>
    </row>
    <row r="1286" spans="1:36" s="213" customFormat="1" x14ac:dyDescent="0.25">
      <c r="A1286" s="212"/>
      <c r="C1286" s="212"/>
      <c r="K1286" s="212"/>
      <c r="L1286" s="212"/>
      <c r="M1286" s="212"/>
      <c r="R1286" s="214"/>
      <c r="AB1286" s="215"/>
      <c r="AG1286" s="215"/>
      <c r="AJ1286" s="215"/>
    </row>
    <row r="1287" spans="1:36" s="213" customFormat="1" x14ac:dyDescent="0.25">
      <c r="A1287" s="212"/>
      <c r="C1287" s="212"/>
      <c r="K1287" s="212"/>
      <c r="L1287" s="212"/>
      <c r="M1287" s="212"/>
      <c r="R1287" s="214"/>
      <c r="AB1287" s="215"/>
      <c r="AG1287" s="215"/>
      <c r="AJ1287" s="215"/>
    </row>
    <row r="1288" spans="1:36" s="213" customFormat="1" x14ac:dyDescent="0.25">
      <c r="A1288" s="212"/>
      <c r="C1288" s="212"/>
      <c r="K1288" s="212"/>
      <c r="L1288" s="212"/>
      <c r="M1288" s="212"/>
      <c r="R1288" s="214"/>
      <c r="AB1288" s="215"/>
      <c r="AG1288" s="215"/>
      <c r="AJ1288" s="215"/>
    </row>
    <row r="1289" spans="1:36" s="213" customFormat="1" x14ac:dyDescent="0.25">
      <c r="A1289" s="212"/>
      <c r="C1289" s="212"/>
      <c r="K1289" s="212"/>
      <c r="L1289" s="212"/>
      <c r="M1289" s="212"/>
      <c r="R1289" s="214"/>
      <c r="AB1289" s="215"/>
      <c r="AG1289" s="215"/>
      <c r="AJ1289" s="215"/>
    </row>
    <row r="1290" spans="1:36" s="213" customFormat="1" x14ac:dyDescent="0.25">
      <c r="A1290" s="212"/>
      <c r="C1290" s="212"/>
      <c r="K1290" s="212"/>
      <c r="L1290" s="212"/>
      <c r="M1290" s="212"/>
      <c r="R1290" s="214"/>
      <c r="AB1290" s="215"/>
      <c r="AG1290" s="215"/>
      <c r="AJ1290" s="215"/>
    </row>
    <row r="1291" spans="1:36" s="213" customFormat="1" x14ac:dyDescent="0.25">
      <c r="A1291" s="212"/>
      <c r="C1291" s="212"/>
      <c r="K1291" s="212"/>
      <c r="L1291" s="212"/>
      <c r="M1291" s="212"/>
      <c r="R1291" s="214"/>
      <c r="AB1291" s="215"/>
      <c r="AG1291" s="215"/>
      <c r="AJ1291" s="215"/>
    </row>
    <row r="1292" spans="1:36" s="213" customFormat="1" x14ac:dyDescent="0.25">
      <c r="A1292" s="212"/>
      <c r="C1292" s="212"/>
      <c r="K1292" s="212"/>
      <c r="L1292" s="212"/>
      <c r="M1292" s="212"/>
      <c r="R1292" s="214"/>
      <c r="AB1292" s="215"/>
      <c r="AG1292" s="215"/>
      <c r="AJ1292" s="215"/>
    </row>
    <row r="1293" spans="1:36" s="213" customFormat="1" x14ac:dyDescent="0.25">
      <c r="A1293" s="212"/>
      <c r="C1293" s="212"/>
      <c r="K1293" s="212"/>
      <c r="L1293" s="212"/>
      <c r="M1293" s="212"/>
      <c r="R1293" s="214"/>
      <c r="AB1293" s="215"/>
      <c r="AG1293" s="215"/>
      <c r="AJ1293" s="215"/>
    </row>
    <row r="1294" spans="1:36" s="213" customFormat="1" x14ac:dyDescent="0.25">
      <c r="A1294" s="212"/>
      <c r="C1294" s="212"/>
      <c r="K1294" s="212"/>
      <c r="L1294" s="212"/>
      <c r="M1294" s="212"/>
      <c r="R1294" s="214"/>
      <c r="AB1294" s="215"/>
      <c r="AG1294" s="215"/>
      <c r="AJ1294" s="215"/>
    </row>
    <row r="1295" spans="1:36" s="213" customFormat="1" x14ac:dyDescent="0.25">
      <c r="A1295" s="212"/>
      <c r="C1295" s="212"/>
      <c r="K1295" s="212"/>
      <c r="L1295" s="212"/>
      <c r="M1295" s="212"/>
      <c r="R1295" s="214"/>
      <c r="AB1295" s="215"/>
      <c r="AG1295" s="215"/>
      <c r="AJ1295" s="215"/>
    </row>
    <row r="1296" spans="1:36" s="213" customFormat="1" x14ac:dyDescent="0.25">
      <c r="A1296" s="212"/>
      <c r="C1296" s="212"/>
      <c r="K1296" s="212"/>
      <c r="L1296" s="212"/>
      <c r="M1296" s="212"/>
      <c r="R1296" s="214"/>
      <c r="AB1296" s="215"/>
      <c r="AG1296" s="215"/>
      <c r="AJ1296" s="215"/>
    </row>
    <row r="1297" spans="1:36" s="213" customFormat="1" x14ac:dyDescent="0.25">
      <c r="A1297" s="212"/>
      <c r="C1297" s="212"/>
      <c r="K1297" s="212"/>
      <c r="L1297" s="212"/>
      <c r="M1297" s="212"/>
      <c r="R1297" s="214"/>
      <c r="AB1297" s="215"/>
      <c r="AG1297" s="215"/>
      <c r="AJ1297" s="215"/>
    </row>
    <row r="1298" spans="1:36" s="213" customFormat="1" x14ac:dyDescent="0.25">
      <c r="A1298" s="212"/>
      <c r="C1298" s="212"/>
      <c r="K1298" s="212"/>
      <c r="L1298" s="212"/>
      <c r="M1298" s="212"/>
      <c r="R1298" s="214"/>
      <c r="AB1298" s="215"/>
      <c r="AG1298" s="215"/>
      <c r="AJ1298" s="215"/>
    </row>
    <row r="1299" spans="1:36" s="213" customFormat="1" x14ac:dyDescent="0.25">
      <c r="A1299" s="212"/>
      <c r="C1299" s="212"/>
      <c r="K1299" s="212"/>
      <c r="L1299" s="212"/>
      <c r="M1299" s="212"/>
      <c r="R1299" s="214"/>
      <c r="AB1299" s="215"/>
      <c r="AG1299" s="215"/>
      <c r="AJ1299" s="215"/>
    </row>
    <row r="1300" spans="1:36" s="213" customFormat="1" x14ac:dyDescent="0.25">
      <c r="A1300" s="212"/>
      <c r="C1300" s="212"/>
      <c r="K1300" s="212"/>
      <c r="L1300" s="212"/>
      <c r="M1300" s="212"/>
      <c r="R1300" s="214"/>
      <c r="AB1300" s="215"/>
      <c r="AG1300" s="215"/>
      <c r="AJ1300" s="215"/>
    </row>
    <row r="1301" spans="1:36" s="213" customFormat="1" x14ac:dyDescent="0.25">
      <c r="A1301" s="212"/>
      <c r="C1301" s="212"/>
      <c r="K1301" s="212"/>
      <c r="L1301" s="212"/>
      <c r="M1301" s="212"/>
      <c r="R1301" s="214"/>
      <c r="AB1301" s="215"/>
      <c r="AG1301" s="215"/>
      <c r="AJ1301" s="215"/>
    </row>
    <row r="1302" spans="1:36" s="213" customFormat="1" x14ac:dyDescent="0.25">
      <c r="A1302" s="212"/>
      <c r="C1302" s="212"/>
      <c r="K1302" s="212"/>
      <c r="L1302" s="212"/>
      <c r="M1302" s="212"/>
      <c r="R1302" s="214"/>
      <c r="AB1302" s="215"/>
      <c r="AG1302" s="215"/>
      <c r="AJ1302" s="215"/>
    </row>
    <row r="1303" spans="1:36" s="213" customFormat="1" x14ac:dyDescent="0.25">
      <c r="A1303" s="212"/>
      <c r="C1303" s="212"/>
      <c r="K1303" s="212"/>
      <c r="L1303" s="212"/>
      <c r="M1303" s="212"/>
      <c r="R1303" s="214"/>
      <c r="AB1303" s="215"/>
      <c r="AG1303" s="215"/>
      <c r="AJ1303" s="215"/>
    </row>
    <row r="1304" spans="1:36" s="213" customFormat="1" x14ac:dyDescent="0.25">
      <c r="A1304" s="212"/>
      <c r="C1304" s="212"/>
      <c r="K1304" s="212"/>
      <c r="L1304" s="212"/>
      <c r="M1304" s="212"/>
      <c r="R1304" s="214"/>
      <c r="AB1304" s="215"/>
      <c r="AG1304" s="215"/>
      <c r="AJ1304" s="215"/>
    </row>
    <row r="1305" spans="1:36" s="213" customFormat="1" x14ac:dyDescent="0.25">
      <c r="A1305" s="212"/>
      <c r="C1305" s="212"/>
      <c r="K1305" s="212"/>
      <c r="L1305" s="212"/>
      <c r="M1305" s="212"/>
      <c r="R1305" s="214"/>
      <c r="AB1305" s="215"/>
      <c r="AG1305" s="215"/>
      <c r="AJ1305" s="215"/>
    </row>
    <row r="1306" spans="1:36" s="213" customFormat="1" x14ac:dyDescent="0.25">
      <c r="A1306" s="212"/>
      <c r="C1306" s="212"/>
      <c r="K1306" s="212"/>
      <c r="L1306" s="212"/>
      <c r="M1306" s="212"/>
      <c r="R1306" s="214"/>
      <c r="AB1306" s="215"/>
      <c r="AG1306" s="215"/>
      <c r="AJ1306" s="215"/>
    </row>
    <row r="1307" spans="1:36" s="213" customFormat="1" x14ac:dyDescent="0.25">
      <c r="A1307" s="212"/>
      <c r="C1307" s="212"/>
      <c r="K1307" s="212"/>
      <c r="L1307" s="212"/>
      <c r="M1307" s="212"/>
      <c r="R1307" s="214"/>
      <c r="AB1307" s="215"/>
      <c r="AG1307" s="215"/>
      <c r="AJ1307" s="215"/>
    </row>
    <row r="1308" spans="1:36" s="213" customFormat="1" x14ac:dyDescent="0.25">
      <c r="A1308" s="212"/>
      <c r="C1308" s="212"/>
      <c r="K1308" s="212"/>
      <c r="L1308" s="212"/>
      <c r="M1308" s="212"/>
      <c r="R1308" s="214"/>
      <c r="AB1308" s="215"/>
      <c r="AG1308" s="215"/>
      <c r="AJ1308" s="215"/>
    </row>
    <row r="1309" spans="1:36" s="213" customFormat="1" x14ac:dyDescent="0.25">
      <c r="A1309" s="212"/>
      <c r="C1309" s="212"/>
      <c r="K1309" s="212"/>
      <c r="L1309" s="212"/>
      <c r="M1309" s="212"/>
      <c r="R1309" s="214"/>
      <c r="AB1309" s="215"/>
      <c r="AG1309" s="215"/>
      <c r="AJ1309" s="215"/>
    </row>
    <row r="1310" spans="1:36" s="213" customFormat="1" x14ac:dyDescent="0.25">
      <c r="A1310" s="212"/>
      <c r="C1310" s="212"/>
      <c r="K1310" s="212"/>
      <c r="L1310" s="212"/>
      <c r="M1310" s="212"/>
      <c r="R1310" s="214"/>
      <c r="AB1310" s="215"/>
      <c r="AG1310" s="215"/>
      <c r="AJ1310" s="215"/>
    </row>
    <row r="1311" spans="1:36" s="213" customFormat="1" x14ac:dyDescent="0.25">
      <c r="A1311" s="212"/>
      <c r="C1311" s="212"/>
      <c r="K1311" s="212"/>
      <c r="L1311" s="212"/>
      <c r="M1311" s="212"/>
      <c r="R1311" s="214"/>
      <c r="AB1311" s="215"/>
      <c r="AG1311" s="215"/>
      <c r="AJ1311" s="215"/>
    </row>
    <row r="1312" spans="1:36" s="213" customFormat="1" x14ac:dyDescent="0.25">
      <c r="A1312" s="212"/>
      <c r="C1312" s="212"/>
      <c r="K1312" s="212"/>
      <c r="L1312" s="212"/>
      <c r="M1312" s="212"/>
      <c r="R1312" s="214"/>
      <c r="AB1312" s="215"/>
      <c r="AG1312" s="215"/>
      <c r="AJ1312" s="215"/>
    </row>
    <row r="1313" spans="1:36" s="213" customFormat="1" x14ac:dyDescent="0.25">
      <c r="A1313" s="212"/>
      <c r="C1313" s="212"/>
      <c r="K1313" s="212"/>
      <c r="L1313" s="212"/>
      <c r="M1313" s="212"/>
      <c r="R1313" s="214"/>
      <c r="AB1313" s="215"/>
      <c r="AG1313" s="215"/>
      <c r="AJ1313" s="215"/>
    </row>
    <row r="1314" spans="1:36" s="213" customFormat="1" x14ac:dyDescent="0.25">
      <c r="A1314" s="212"/>
      <c r="C1314" s="212"/>
      <c r="K1314" s="212"/>
      <c r="L1314" s="212"/>
      <c r="M1314" s="212"/>
      <c r="R1314" s="214"/>
      <c r="AB1314" s="215"/>
      <c r="AG1314" s="215"/>
      <c r="AJ1314" s="215"/>
    </row>
    <row r="1315" spans="1:36" s="213" customFormat="1" x14ac:dyDescent="0.25">
      <c r="A1315" s="212"/>
      <c r="C1315" s="212"/>
      <c r="K1315" s="212"/>
      <c r="L1315" s="212"/>
      <c r="M1315" s="212"/>
      <c r="R1315" s="214"/>
      <c r="AB1315" s="215"/>
      <c r="AG1315" s="215"/>
      <c r="AJ1315" s="215"/>
    </row>
    <row r="1316" spans="1:36" s="213" customFormat="1" x14ac:dyDescent="0.25">
      <c r="A1316" s="212"/>
      <c r="C1316" s="212"/>
      <c r="K1316" s="212"/>
      <c r="L1316" s="212"/>
      <c r="M1316" s="212"/>
      <c r="R1316" s="214"/>
      <c r="AB1316" s="215"/>
      <c r="AG1316" s="215"/>
      <c r="AJ1316" s="215"/>
    </row>
    <row r="1317" spans="1:36" s="213" customFormat="1" x14ac:dyDescent="0.25">
      <c r="A1317" s="212"/>
      <c r="C1317" s="212"/>
      <c r="K1317" s="212"/>
      <c r="L1317" s="212"/>
      <c r="M1317" s="212"/>
      <c r="R1317" s="214"/>
      <c r="AB1317" s="215"/>
      <c r="AG1317" s="215"/>
      <c r="AJ1317" s="215"/>
    </row>
    <row r="1318" spans="1:36" s="213" customFormat="1" x14ac:dyDescent="0.25">
      <c r="A1318" s="212"/>
      <c r="C1318" s="212"/>
      <c r="K1318" s="212"/>
      <c r="L1318" s="212"/>
      <c r="M1318" s="212"/>
      <c r="R1318" s="214"/>
      <c r="AB1318" s="215"/>
      <c r="AG1318" s="215"/>
      <c r="AJ1318" s="215"/>
    </row>
    <row r="1319" spans="1:36" s="213" customFormat="1" x14ac:dyDescent="0.25">
      <c r="A1319" s="212"/>
      <c r="C1319" s="212"/>
      <c r="K1319" s="212"/>
      <c r="L1319" s="212"/>
      <c r="M1319" s="212"/>
      <c r="R1319" s="214"/>
      <c r="AB1319" s="215"/>
      <c r="AG1319" s="215"/>
      <c r="AJ1319" s="215"/>
    </row>
    <row r="1320" spans="1:36" s="213" customFormat="1" x14ac:dyDescent="0.25">
      <c r="A1320" s="212"/>
      <c r="C1320" s="212"/>
      <c r="K1320" s="212"/>
      <c r="L1320" s="212"/>
      <c r="M1320" s="212"/>
      <c r="R1320" s="214"/>
      <c r="AB1320" s="215"/>
      <c r="AG1320" s="215"/>
      <c r="AJ1320" s="215"/>
    </row>
    <row r="1321" spans="1:36" s="213" customFormat="1" x14ac:dyDescent="0.25">
      <c r="A1321" s="212"/>
      <c r="C1321" s="212"/>
      <c r="K1321" s="212"/>
      <c r="L1321" s="212"/>
      <c r="M1321" s="212"/>
      <c r="R1321" s="214"/>
      <c r="AB1321" s="215"/>
      <c r="AG1321" s="215"/>
      <c r="AJ1321" s="215"/>
    </row>
    <row r="1322" spans="1:36" s="213" customFormat="1" x14ac:dyDescent="0.25">
      <c r="A1322" s="212"/>
      <c r="C1322" s="212"/>
      <c r="K1322" s="212"/>
      <c r="L1322" s="212"/>
      <c r="M1322" s="212"/>
      <c r="R1322" s="214"/>
      <c r="AB1322" s="215"/>
      <c r="AG1322" s="215"/>
      <c r="AJ1322" s="215"/>
    </row>
    <row r="1323" spans="1:36" s="213" customFormat="1" x14ac:dyDescent="0.25">
      <c r="A1323" s="212"/>
      <c r="C1323" s="212"/>
      <c r="K1323" s="212"/>
      <c r="L1323" s="212"/>
      <c r="M1323" s="212"/>
      <c r="R1323" s="214"/>
      <c r="AB1323" s="215"/>
      <c r="AG1323" s="215"/>
      <c r="AJ1323" s="215"/>
    </row>
    <row r="1324" spans="1:36" s="213" customFormat="1" x14ac:dyDescent="0.25">
      <c r="A1324" s="212"/>
      <c r="C1324" s="212"/>
      <c r="K1324" s="212"/>
      <c r="L1324" s="212"/>
      <c r="M1324" s="212"/>
      <c r="R1324" s="214"/>
      <c r="AB1324" s="215"/>
      <c r="AG1324" s="215"/>
      <c r="AJ1324" s="215"/>
    </row>
    <row r="1325" spans="1:36" s="213" customFormat="1" x14ac:dyDescent="0.25">
      <c r="A1325" s="212"/>
      <c r="C1325" s="212"/>
      <c r="K1325" s="212"/>
      <c r="L1325" s="212"/>
      <c r="M1325" s="212"/>
      <c r="R1325" s="214"/>
      <c r="AB1325" s="215"/>
      <c r="AG1325" s="215"/>
      <c r="AJ1325" s="215"/>
    </row>
    <row r="1326" spans="1:36" s="213" customFormat="1" x14ac:dyDescent="0.25">
      <c r="A1326" s="212"/>
      <c r="C1326" s="212"/>
      <c r="K1326" s="212"/>
      <c r="L1326" s="212"/>
      <c r="M1326" s="212"/>
      <c r="R1326" s="214"/>
      <c r="AB1326" s="215"/>
      <c r="AG1326" s="215"/>
      <c r="AJ1326" s="215"/>
    </row>
    <row r="1327" spans="1:36" s="213" customFormat="1" x14ac:dyDescent="0.25">
      <c r="A1327" s="212"/>
      <c r="C1327" s="212"/>
      <c r="K1327" s="212"/>
      <c r="L1327" s="212"/>
      <c r="M1327" s="212"/>
      <c r="R1327" s="214"/>
      <c r="AB1327" s="215"/>
      <c r="AG1327" s="215"/>
      <c r="AJ1327" s="215"/>
    </row>
    <row r="1328" spans="1:36" s="213" customFormat="1" x14ac:dyDescent="0.25">
      <c r="A1328" s="212"/>
      <c r="C1328" s="212"/>
      <c r="K1328" s="212"/>
      <c r="L1328" s="212"/>
      <c r="M1328" s="212"/>
      <c r="R1328" s="214"/>
      <c r="AB1328" s="215"/>
      <c r="AG1328" s="215"/>
      <c r="AJ1328" s="215"/>
    </row>
    <row r="1329" spans="1:36" s="213" customFormat="1" x14ac:dyDescent="0.25">
      <c r="A1329" s="212"/>
      <c r="C1329" s="212"/>
      <c r="K1329" s="212"/>
      <c r="L1329" s="212"/>
      <c r="M1329" s="212"/>
      <c r="R1329" s="214"/>
      <c r="AB1329" s="215"/>
      <c r="AG1329" s="215"/>
      <c r="AJ1329" s="215"/>
    </row>
    <row r="1330" spans="1:36" s="213" customFormat="1" x14ac:dyDescent="0.25">
      <c r="A1330" s="212"/>
      <c r="C1330" s="212"/>
      <c r="K1330" s="212"/>
      <c r="L1330" s="212"/>
      <c r="M1330" s="212"/>
      <c r="R1330" s="214"/>
      <c r="AB1330" s="215"/>
      <c r="AG1330" s="215"/>
      <c r="AJ1330" s="215"/>
    </row>
    <row r="1331" spans="1:36" s="213" customFormat="1" x14ac:dyDescent="0.25">
      <c r="A1331" s="212"/>
      <c r="C1331" s="212"/>
      <c r="K1331" s="212"/>
      <c r="L1331" s="212"/>
      <c r="M1331" s="212"/>
      <c r="R1331" s="214"/>
      <c r="AB1331" s="215"/>
      <c r="AG1331" s="215"/>
      <c r="AJ1331" s="215"/>
    </row>
    <row r="1332" spans="1:36" s="213" customFormat="1" x14ac:dyDescent="0.25">
      <c r="A1332" s="212"/>
      <c r="C1332" s="212"/>
      <c r="K1332" s="212"/>
      <c r="L1332" s="212"/>
      <c r="M1332" s="212"/>
      <c r="R1332" s="214"/>
      <c r="AB1332" s="215"/>
      <c r="AG1332" s="215"/>
      <c r="AJ1332" s="215"/>
    </row>
    <row r="1333" spans="1:36" s="213" customFormat="1" x14ac:dyDescent="0.25">
      <c r="A1333" s="212"/>
      <c r="C1333" s="212"/>
      <c r="K1333" s="212"/>
      <c r="L1333" s="212"/>
      <c r="M1333" s="212"/>
      <c r="R1333" s="214"/>
      <c r="AB1333" s="215"/>
      <c r="AG1333" s="215"/>
      <c r="AJ1333" s="215"/>
    </row>
    <row r="1334" spans="1:36" s="213" customFormat="1" x14ac:dyDescent="0.25">
      <c r="A1334" s="212"/>
      <c r="C1334" s="212"/>
      <c r="K1334" s="212"/>
      <c r="L1334" s="212"/>
      <c r="M1334" s="212"/>
      <c r="R1334" s="214"/>
      <c r="AB1334" s="215"/>
      <c r="AG1334" s="215"/>
      <c r="AJ1334" s="215"/>
    </row>
    <row r="1335" spans="1:36" s="213" customFormat="1" x14ac:dyDescent="0.25">
      <c r="A1335" s="212"/>
      <c r="C1335" s="212"/>
      <c r="K1335" s="212"/>
      <c r="L1335" s="212"/>
      <c r="M1335" s="212"/>
      <c r="R1335" s="214"/>
      <c r="AB1335" s="215"/>
      <c r="AG1335" s="215"/>
      <c r="AJ1335" s="215"/>
    </row>
    <row r="1336" spans="1:36" s="213" customFormat="1" x14ac:dyDescent="0.25">
      <c r="A1336" s="212"/>
      <c r="C1336" s="212"/>
      <c r="K1336" s="212"/>
      <c r="L1336" s="212"/>
      <c r="M1336" s="212"/>
      <c r="R1336" s="214"/>
      <c r="AB1336" s="215"/>
      <c r="AG1336" s="215"/>
      <c r="AJ1336" s="215"/>
    </row>
    <row r="1337" spans="1:36" s="213" customFormat="1" x14ac:dyDescent="0.25">
      <c r="A1337" s="212"/>
      <c r="C1337" s="212"/>
      <c r="K1337" s="212"/>
      <c r="L1337" s="212"/>
      <c r="M1337" s="212"/>
      <c r="R1337" s="214"/>
      <c r="AB1337" s="215"/>
      <c r="AG1337" s="215"/>
      <c r="AJ1337" s="215"/>
    </row>
    <row r="1338" spans="1:36" s="213" customFormat="1" x14ac:dyDescent="0.25">
      <c r="A1338" s="212"/>
      <c r="C1338" s="212"/>
      <c r="K1338" s="212"/>
      <c r="L1338" s="212"/>
      <c r="M1338" s="212"/>
      <c r="R1338" s="214"/>
      <c r="AB1338" s="215"/>
      <c r="AG1338" s="215"/>
      <c r="AJ1338" s="215"/>
    </row>
    <row r="1339" spans="1:36" s="213" customFormat="1" x14ac:dyDescent="0.25">
      <c r="A1339" s="212"/>
      <c r="C1339" s="212"/>
      <c r="K1339" s="212"/>
      <c r="L1339" s="212"/>
      <c r="M1339" s="212"/>
      <c r="R1339" s="214"/>
      <c r="AB1339" s="215"/>
      <c r="AG1339" s="215"/>
      <c r="AJ1339" s="215"/>
    </row>
    <row r="1340" spans="1:36" s="213" customFormat="1" x14ac:dyDescent="0.25">
      <c r="A1340" s="212"/>
      <c r="C1340" s="212"/>
      <c r="K1340" s="212"/>
      <c r="L1340" s="212"/>
      <c r="M1340" s="212"/>
      <c r="R1340" s="214"/>
      <c r="AB1340" s="215"/>
      <c r="AG1340" s="215"/>
      <c r="AJ1340" s="215"/>
    </row>
    <row r="1341" spans="1:36" s="213" customFormat="1" x14ac:dyDescent="0.25">
      <c r="A1341" s="212"/>
      <c r="C1341" s="212"/>
      <c r="K1341" s="212"/>
      <c r="L1341" s="212"/>
      <c r="M1341" s="212"/>
      <c r="R1341" s="214"/>
      <c r="AB1341" s="215"/>
      <c r="AG1341" s="215"/>
      <c r="AJ1341" s="215"/>
    </row>
    <row r="1342" spans="1:36" s="213" customFormat="1" x14ac:dyDescent="0.25">
      <c r="A1342" s="212"/>
      <c r="C1342" s="212"/>
      <c r="K1342" s="212"/>
      <c r="L1342" s="212"/>
      <c r="M1342" s="212"/>
      <c r="R1342" s="214"/>
      <c r="AB1342" s="215"/>
      <c r="AG1342" s="215"/>
      <c r="AJ1342" s="215"/>
    </row>
    <row r="1343" spans="1:36" s="213" customFormat="1" x14ac:dyDescent="0.25">
      <c r="A1343" s="212"/>
      <c r="C1343" s="212"/>
      <c r="K1343" s="212"/>
      <c r="L1343" s="212"/>
      <c r="M1343" s="212"/>
      <c r="R1343" s="214"/>
      <c r="AB1343" s="215"/>
      <c r="AG1343" s="215"/>
      <c r="AJ1343" s="215"/>
    </row>
    <row r="1344" spans="1:36" s="213" customFormat="1" x14ac:dyDescent="0.25">
      <c r="A1344" s="212"/>
      <c r="C1344" s="212"/>
      <c r="K1344" s="212"/>
      <c r="L1344" s="212"/>
      <c r="M1344" s="212"/>
      <c r="R1344" s="214"/>
      <c r="AB1344" s="215"/>
      <c r="AG1344" s="215"/>
      <c r="AJ1344" s="215"/>
    </row>
    <row r="1345" spans="1:36" s="213" customFormat="1" x14ac:dyDescent="0.25">
      <c r="A1345" s="212"/>
      <c r="C1345" s="212"/>
      <c r="K1345" s="212"/>
      <c r="L1345" s="212"/>
      <c r="M1345" s="212"/>
      <c r="R1345" s="214"/>
      <c r="AB1345" s="215"/>
      <c r="AG1345" s="215"/>
      <c r="AJ1345" s="215"/>
    </row>
    <row r="1346" spans="1:36" s="213" customFormat="1" x14ac:dyDescent="0.25">
      <c r="A1346" s="212"/>
      <c r="C1346" s="212"/>
      <c r="K1346" s="212"/>
      <c r="L1346" s="212"/>
      <c r="M1346" s="212"/>
      <c r="R1346" s="214"/>
      <c r="AB1346" s="215"/>
      <c r="AG1346" s="215"/>
      <c r="AJ1346" s="215"/>
    </row>
    <row r="1347" spans="1:36" s="213" customFormat="1" x14ac:dyDescent="0.25">
      <c r="A1347" s="212"/>
      <c r="C1347" s="212"/>
      <c r="K1347" s="212"/>
      <c r="L1347" s="212"/>
      <c r="M1347" s="212"/>
      <c r="R1347" s="214"/>
      <c r="AB1347" s="215"/>
      <c r="AG1347" s="215"/>
      <c r="AJ1347" s="215"/>
    </row>
    <row r="1348" spans="1:36" s="213" customFormat="1" x14ac:dyDescent="0.25">
      <c r="A1348" s="212"/>
      <c r="C1348" s="212"/>
      <c r="K1348" s="212"/>
      <c r="L1348" s="212"/>
      <c r="M1348" s="212"/>
      <c r="R1348" s="214"/>
      <c r="AB1348" s="215"/>
      <c r="AG1348" s="215"/>
      <c r="AJ1348" s="215"/>
    </row>
    <row r="1349" spans="1:36" s="213" customFormat="1" x14ac:dyDescent="0.25">
      <c r="A1349" s="212"/>
      <c r="C1349" s="212"/>
      <c r="K1349" s="212"/>
      <c r="L1349" s="212"/>
      <c r="M1349" s="212"/>
      <c r="R1349" s="214"/>
      <c r="AB1349" s="215"/>
      <c r="AG1349" s="215"/>
      <c r="AJ1349" s="215"/>
    </row>
    <row r="1350" spans="1:36" s="213" customFormat="1" x14ac:dyDescent="0.25">
      <c r="A1350" s="212"/>
      <c r="C1350" s="212"/>
      <c r="K1350" s="212"/>
      <c r="L1350" s="212"/>
      <c r="M1350" s="212"/>
      <c r="R1350" s="214"/>
      <c r="AB1350" s="215"/>
      <c r="AG1350" s="215"/>
      <c r="AJ1350" s="215"/>
    </row>
    <row r="1351" spans="1:36" s="213" customFormat="1" x14ac:dyDescent="0.25">
      <c r="A1351" s="212"/>
      <c r="C1351" s="212"/>
      <c r="K1351" s="212"/>
      <c r="L1351" s="212"/>
      <c r="M1351" s="212"/>
      <c r="R1351" s="214"/>
      <c r="AB1351" s="215"/>
      <c r="AG1351" s="215"/>
      <c r="AJ1351" s="215"/>
    </row>
    <row r="1352" spans="1:36" s="213" customFormat="1" x14ac:dyDescent="0.25">
      <c r="A1352" s="212"/>
      <c r="C1352" s="212"/>
      <c r="K1352" s="212"/>
      <c r="L1352" s="212"/>
      <c r="M1352" s="212"/>
      <c r="R1352" s="214"/>
      <c r="AB1352" s="215"/>
      <c r="AG1352" s="215"/>
      <c r="AJ1352" s="215"/>
    </row>
    <row r="1353" spans="1:36" s="213" customFormat="1" x14ac:dyDescent="0.25">
      <c r="A1353" s="212"/>
      <c r="C1353" s="212"/>
      <c r="K1353" s="212"/>
      <c r="L1353" s="212"/>
      <c r="M1353" s="212"/>
      <c r="R1353" s="214"/>
      <c r="AB1353" s="215"/>
      <c r="AG1353" s="215"/>
      <c r="AJ1353" s="215"/>
    </row>
    <row r="1354" spans="1:36" s="213" customFormat="1" x14ac:dyDescent="0.25">
      <c r="A1354" s="212"/>
      <c r="C1354" s="212"/>
      <c r="K1354" s="212"/>
      <c r="L1354" s="212"/>
      <c r="M1354" s="212"/>
      <c r="R1354" s="214"/>
      <c r="AB1354" s="215"/>
      <c r="AG1354" s="215"/>
      <c r="AJ1354" s="215"/>
    </row>
    <row r="1355" spans="1:36" s="213" customFormat="1" x14ac:dyDescent="0.25">
      <c r="A1355" s="212"/>
      <c r="C1355" s="212"/>
      <c r="K1355" s="212"/>
      <c r="L1355" s="212"/>
      <c r="M1355" s="212"/>
      <c r="R1355" s="214"/>
      <c r="AB1355" s="215"/>
      <c r="AG1355" s="215"/>
      <c r="AJ1355" s="215"/>
    </row>
    <row r="1356" spans="1:36" s="213" customFormat="1" x14ac:dyDescent="0.25">
      <c r="A1356" s="212"/>
      <c r="C1356" s="212"/>
      <c r="K1356" s="212"/>
      <c r="L1356" s="212"/>
      <c r="M1356" s="212"/>
      <c r="R1356" s="214"/>
      <c r="AB1356" s="215"/>
      <c r="AG1356" s="215"/>
      <c r="AJ1356" s="215"/>
    </row>
    <row r="1357" spans="1:36" s="213" customFormat="1" x14ac:dyDescent="0.25">
      <c r="A1357" s="212"/>
      <c r="C1357" s="212"/>
      <c r="K1357" s="212"/>
      <c r="L1357" s="212"/>
      <c r="M1357" s="212"/>
      <c r="R1357" s="214"/>
      <c r="AB1357" s="215"/>
      <c r="AG1357" s="215"/>
      <c r="AJ1357" s="215"/>
    </row>
    <row r="1358" spans="1:36" s="213" customFormat="1" x14ac:dyDescent="0.25">
      <c r="A1358" s="212"/>
      <c r="C1358" s="212"/>
      <c r="K1358" s="212"/>
      <c r="L1358" s="212"/>
      <c r="M1358" s="212"/>
      <c r="R1358" s="214"/>
      <c r="AB1358" s="215"/>
      <c r="AG1358" s="215"/>
      <c r="AJ1358" s="215"/>
    </row>
    <row r="1359" spans="1:36" s="213" customFormat="1" x14ac:dyDescent="0.25">
      <c r="A1359" s="212"/>
      <c r="C1359" s="212"/>
      <c r="K1359" s="212"/>
      <c r="L1359" s="212"/>
      <c r="M1359" s="212"/>
      <c r="R1359" s="214"/>
      <c r="AB1359" s="215"/>
      <c r="AG1359" s="215"/>
      <c r="AJ1359" s="215"/>
    </row>
    <row r="1360" spans="1:36" s="213" customFormat="1" x14ac:dyDescent="0.25">
      <c r="A1360" s="212"/>
      <c r="C1360" s="212"/>
      <c r="K1360" s="212"/>
      <c r="L1360" s="212"/>
      <c r="M1360" s="212"/>
      <c r="R1360" s="214"/>
      <c r="AB1360" s="215"/>
      <c r="AG1360" s="215"/>
      <c r="AJ1360" s="215"/>
    </row>
    <row r="1361" spans="1:36" s="213" customFormat="1" x14ac:dyDescent="0.25">
      <c r="A1361" s="212"/>
      <c r="C1361" s="212"/>
      <c r="K1361" s="212"/>
      <c r="L1361" s="212"/>
      <c r="M1361" s="212"/>
      <c r="R1361" s="214"/>
      <c r="AB1361" s="215"/>
      <c r="AG1361" s="215"/>
      <c r="AJ1361" s="215"/>
    </row>
    <row r="1362" spans="1:36" s="213" customFormat="1" x14ac:dyDescent="0.25">
      <c r="A1362" s="212"/>
      <c r="C1362" s="212"/>
      <c r="K1362" s="212"/>
      <c r="L1362" s="212"/>
      <c r="M1362" s="212"/>
      <c r="R1362" s="214"/>
      <c r="AB1362" s="215"/>
      <c r="AG1362" s="215"/>
      <c r="AJ1362" s="215"/>
    </row>
    <row r="1363" spans="1:36" s="213" customFormat="1" x14ac:dyDescent="0.25">
      <c r="A1363" s="212"/>
      <c r="C1363" s="212"/>
      <c r="K1363" s="212"/>
      <c r="L1363" s="212"/>
      <c r="M1363" s="212"/>
      <c r="R1363" s="214"/>
      <c r="AB1363" s="215"/>
      <c r="AG1363" s="215"/>
      <c r="AJ1363" s="215"/>
    </row>
    <row r="1364" spans="1:36" s="213" customFormat="1" x14ac:dyDescent="0.25">
      <c r="A1364" s="212"/>
      <c r="C1364" s="212"/>
      <c r="K1364" s="212"/>
      <c r="L1364" s="212"/>
      <c r="M1364" s="212"/>
      <c r="R1364" s="214"/>
      <c r="AB1364" s="215"/>
      <c r="AG1364" s="215"/>
      <c r="AJ1364" s="215"/>
    </row>
    <row r="1365" spans="1:36" s="213" customFormat="1" x14ac:dyDescent="0.25">
      <c r="A1365" s="212"/>
      <c r="C1365" s="212"/>
      <c r="K1365" s="212"/>
      <c r="L1365" s="212"/>
      <c r="M1365" s="212"/>
      <c r="R1365" s="214"/>
      <c r="AB1365" s="215"/>
      <c r="AG1365" s="215"/>
      <c r="AJ1365" s="215"/>
    </row>
    <row r="1366" spans="1:36" s="213" customFormat="1" x14ac:dyDescent="0.25">
      <c r="A1366" s="212"/>
      <c r="C1366" s="212"/>
      <c r="K1366" s="212"/>
      <c r="L1366" s="212"/>
      <c r="M1366" s="212"/>
      <c r="R1366" s="214"/>
      <c r="AB1366" s="215"/>
      <c r="AG1366" s="215"/>
      <c r="AJ1366" s="215"/>
    </row>
    <row r="1367" spans="1:36" s="213" customFormat="1" x14ac:dyDescent="0.25">
      <c r="A1367" s="212"/>
      <c r="C1367" s="212"/>
      <c r="K1367" s="212"/>
      <c r="L1367" s="212"/>
      <c r="M1367" s="212"/>
      <c r="R1367" s="214"/>
      <c r="AB1367" s="215"/>
      <c r="AG1367" s="215"/>
      <c r="AJ1367" s="215"/>
    </row>
    <row r="1368" spans="1:36" s="213" customFormat="1" x14ac:dyDescent="0.25">
      <c r="A1368" s="212"/>
      <c r="C1368" s="212"/>
      <c r="K1368" s="212"/>
      <c r="L1368" s="212"/>
      <c r="M1368" s="212"/>
      <c r="R1368" s="214"/>
      <c r="AB1368" s="215"/>
      <c r="AG1368" s="215"/>
      <c r="AJ1368" s="215"/>
    </row>
    <row r="1369" spans="1:36" s="213" customFormat="1" x14ac:dyDescent="0.25">
      <c r="A1369" s="212"/>
      <c r="C1369" s="212"/>
      <c r="K1369" s="212"/>
      <c r="L1369" s="212"/>
      <c r="M1369" s="212"/>
      <c r="R1369" s="214"/>
      <c r="AB1369" s="215"/>
      <c r="AG1369" s="215"/>
      <c r="AJ1369" s="215"/>
    </row>
    <row r="1370" spans="1:36" s="213" customFormat="1" x14ac:dyDescent="0.25">
      <c r="A1370" s="212"/>
      <c r="C1370" s="212"/>
      <c r="K1370" s="212"/>
      <c r="L1370" s="212"/>
      <c r="M1370" s="212"/>
      <c r="R1370" s="214"/>
      <c r="AB1370" s="215"/>
      <c r="AG1370" s="215"/>
      <c r="AJ1370" s="215"/>
    </row>
    <row r="1371" spans="1:36" s="213" customFormat="1" x14ac:dyDescent="0.25">
      <c r="A1371" s="212"/>
      <c r="C1371" s="212"/>
      <c r="K1371" s="212"/>
      <c r="L1371" s="212"/>
      <c r="M1371" s="212"/>
      <c r="R1371" s="214"/>
      <c r="AB1371" s="215"/>
      <c r="AG1371" s="215"/>
      <c r="AJ1371" s="215"/>
    </row>
    <row r="1372" spans="1:36" s="213" customFormat="1" x14ac:dyDescent="0.25">
      <c r="A1372" s="212"/>
      <c r="C1372" s="212"/>
      <c r="K1372" s="212"/>
      <c r="L1372" s="212"/>
      <c r="M1372" s="212"/>
      <c r="R1372" s="214"/>
      <c r="AB1372" s="215"/>
      <c r="AG1372" s="215"/>
      <c r="AJ1372" s="215"/>
    </row>
    <row r="1373" spans="1:36" s="213" customFormat="1" x14ac:dyDescent="0.25">
      <c r="A1373" s="212"/>
      <c r="C1373" s="212"/>
      <c r="K1373" s="212"/>
      <c r="L1373" s="212"/>
      <c r="M1373" s="212"/>
      <c r="R1373" s="214"/>
      <c r="AB1373" s="215"/>
      <c r="AG1373" s="215"/>
      <c r="AJ1373" s="215"/>
    </row>
    <row r="1374" spans="1:36" s="213" customFormat="1" x14ac:dyDescent="0.25">
      <c r="A1374" s="212"/>
      <c r="C1374" s="212"/>
      <c r="K1374" s="212"/>
      <c r="L1374" s="212"/>
      <c r="M1374" s="212"/>
      <c r="R1374" s="214"/>
      <c r="AB1374" s="215"/>
      <c r="AG1374" s="215"/>
      <c r="AJ1374" s="215"/>
    </row>
    <row r="1375" spans="1:36" s="213" customFormat="1" x14ac:dyDescent="0.25">
      <c r="A1375" s="212"/>
      <c r="C1375" s="212"/>
      <c r="K1375" s="212"/>
      <c r="L1375" s="212"/>
      <c r="M1375" s="212"/>
      <c r="R1375" s="214"/>
      <c r="AB1375" s="215"/>
      <c r="AG1375" s="215"/>
      <c r="AJ1375" s="215"/>
    </row>
    <row r="1376" spans="1:36" s="213" customFormat="1" x14ac:dyDescent="0.25">
      <c r="A1376" s="212"/>
      <c r="C1376" s="212"/>
      <c r="K1376" s="212"/>
      <c r="L1376" s="212"/>
      <c r="M1376" s="212"/>
      <c r="R1376" s="214"/>
      <c r="AB1376" s="215"/>
      <c r="AG1376" s="215"/>
      <c r="AJ1376" s="215"/>
    </row>
    <row r="1377" spans="1:36" s="213" customFormat="1" x14ac:dyDescent="0.25">
      <c r="A1377" s="212"/>
      <c r="C1377" s="212"/>
      <c r="K1377" s="212"/>
      <c r="L1377" s="212"/>
      <c r="M1377" s="212"/>
      <c r="R1377" s="214"/>
      <c r="AB1377" s="215"/>
      <c r="AG1377" s="215"/>
      <c r="AJ1377" s="215"/>
    </row>
    <row r="1378" spans="1:36" s="213" customFormat="1" x14ac:dyDescent="0.25">
      <c r="A1378" s="212"/>
      <c r="C1378" s="212"/>
      <c r="K1378" s="212"/>
      <c r="L1378" s="212"/>
      <c r="M1378" s="212"/>
      <c r="R1378" s="214"/>
      <c r="AB1378" s="215"/>
      <c r="AG1378" s="215"/>
      <c r="AJ1378" s="215"/>
    </row>
    <row r="1379" spans="1:36" s="213" customFormat="1" x14ac:dyDescent="0.25">
      <c r="A1379" s="212"/>
      <c r="C1379" s="212"/>
      <c r="K1379" s="212"/>
      <c r="L1379" s="212"/>
      <c r="M1379" s="212"/>
      <c r="R1379" s="214"/>
      <c r="AB1379" s="215"/>
      <c r="AG1379" s="215"/>
      <c r="AJ1379" s="215"/>
    </row>
    <row r="1380" spans="1:36" s="213" customFormat="1" x14ac:dyDescent="0.25">
      <c r="A1380" s="212"/>
      <c r="C1380" s="212"/>
      <c r="K1380" s="212"/>
      <c r="L1380" s="212"/>
      <c r="M1380" s="212"/>
      <c r="R1380" s="214"/>
      <c r="AB1380" s="215"/>
      <c r="AG1380" s="215"/>
      <c r="AJ1380" s="215"/>
    </row>
    <row r="1381" spans="1:36" s="213" customFormat="1" x14ac:dyDescent="0.25">
      <c r="A1381" s="212"/>
      <c r="C1381" s="212"/>
      <c r="K1381" s="212"/>
      <c r="L1381" s="212"/>
      <c r="M1381" s="212"/>
      <c r="R1381" s="214"/>
      <c r="AB1381" s="215"/>
      <c r="AG1381" s="215"/>
      <c r="AJ1381" s="215"/>
    </row>
    <row r="1382" spans="1:36" s="213" customFormat="1" x14ac:dyDescent="0.25">
      <c r="A1382" s="212"/>
      <c r="C1382" s="212"/>
      <c r="K1382" s="212"/>
      <c r="L1382" s="212"/>
      <c r="M1382" s="212"/>
      <c r="R1382" s="214"/>
      <c r="AB1382" s="215"/>
      <c r="AG1382" s="215"/>
      <c r="AJ1382" s="215"/>
    </row>
    <row r="1383" spans="1:36" s="213" customFormat="1" x14ac:dyDescent="0.25">
      <c r="A1383" s="212"/>
      <c r="C1383" s="212"/>
      <c r="K1383" s="212"/>
      <c r="L1383" s="212"/>
      <c r="M1383" s="212"/>
      <c r="R1383" s="214"/>
      <c r="AB1383" s="215"/>
      <c r="AG1383" s="215"/>
      <c r="AJ1383" s="215"/>
    </row>
    <row r="1384" spans="1:36" s="213" customFormat="1" x14ac:dyDescent="0.25">
      <c r="A1384" s="212"/>
      <c r="C1384" s="212"/>
      <c r="K1384" s="212"/>
      <c r="L1384" s="212"/>
      <c r="M1384" s="212"/>
      <c r="R1384" s="214"/>
      <c r="AB1384" s="215"/>
      <c r="AG1384" s="215"/>
      <c r="AJ1384" s="215"/>
    </row>
    <row r="1385" spans="1:36" s="213" customFormat="1" x14ac:dyDescent="0.25">
      <c r="A1385" s="212"/>
      <c r="C1385" s="212"/>
      <c r="K1385" s="212"/>
      <c r="L1385" s="212"/>
      <c r="M1385" s="212"/>
      <c r="R1385" s="214"/>
      <c r="AB1385" s="215"/>
      <c r="AG1385" s="215"/>
      <c r="AJ1385" s="215"/>
    </row>
    <row r="1386" spans="1:36" s="213" customFormat="1" x14ac:dyDescent="0.25">
      <c r="A1386" s="212"/>
      <c r="C1386" s="212"/>
      <c r="K1386" s="212"/>
      <c r="L1386" s="212"/>
      <c r="M1386" s="212"/>
      <c r="R1386" s="214"/>
      <c r="AB1386" s="215"/>
      <c r="AG1386" s="215"/>
      <c r="AJ1386" s="215"/>
    </row>
    <row r="1387" spans="1:36" s="213" customFormat="1" x14ac:dyDescent="0.25">
      <c r="A1387" s="212"/>
      <c r="C1387" s="212"/>
      <c r="K1387" s="212"/>
      <c r="L1387" s="212"/>
      <c r="M1387" s="212"/>
      <c r="R1387" s="214"/>
      <c r="AB1387" s="215"/>
      <c r="AG1387" s="215"/>
      <c r="AJ1387" s="215"/>
    </row>
    <row r="1388" spans="1:36" s="213" customFormat="1" x14ac:dyDescent="0.25">
      <c r="A1388" s="212"/>
      <c r="C1388" s="212"/>
      <c r="K1388" s="212"/>
      <c r="L1388" s="212"/>
      <c r="M1388" s="212"/>
      <c r="R1388" s="214"/>
      <c r="AB1388" s="215"/>
      <c r="AG1388" s="215"/>
      <c r="AJ1388" s="215"/>
    </row>
    <row r="1389" spans="1:36" s="213" customFormat="1" x14ac:dyDescent="0.25">
      <c r="A1389" s="212"/>
      <c r="C1389" s="212"/>
      <c r="K1389" s="212"/>
      <c r="L1389" s="212"/>
      <c r="M1389" s="212"/>
      <c r="R1389" s="214"/>
      <c r="AB1389" s="215"/>
      <c r="AG1389" s="215"/>
      <c r="AJ1389" s="215"/>
    </row>
    <row r="1390" spans="1:36" s="213" customFormat="1" x14ac:dyDescent="0.25">
      <c r="A1390" s="212"/>
      <c r="C1390" s="212"/>
      <c r="K1390" s="212"/>
      <c r="L1390" s="212"/>
      <c r="M1390" s="212"/>
      <c r="R1390" s="214"/>
      <c r="AB1390" s="215"/>
      <c r="AG1390" s="215"/>
      <c r="AJ1390" s="215"/>
    </row>
    <row r="1391" spans="1:36" s="213" customFormat="1" x14ac:dyDescent="0.25">
      <c r="A1391" s="212"/>
      <c r="C1391" s="212"/>
      <c r="K1391" s="212"/>
      <c r="L1391" s="212"/>
      <c r="M1391" s="212"/>
      <c r="R1391" s="214"/>
      <c r="AB1391" s="215"/>
      <c r="AG1391" s="215"/>
      <c r="AJ1391" s="215"/>
    </row>
    <row r="1392" spans="1:36" s="213" customFormat="1" x14ac:dyDescent="0.25">
      <c r="A1392" s="212"/>
      <c r="C1392" s="212"/>
      <c r="K1392" s="212"/>
      <c r="L1392" s="212"/>
      <c r="M1392" s="212"/>
      <c r="R1392" s="214"/>
      <c r="AB1392" s="215"/>
      <c r="AG1392" s="215"/>
      <c r="AJ1392" s="215"/>
    </row>
    <row r="1393" spans="1:36" s="213" customFormat="1" x14ac:dyDescent="0.25">
      <c r="A1393" s="212"/>
      <c r="C1393" s="212"/>
      <c r="K1393" s="212"/>
      <c r="L1393" s="212"/>
      <c r="M1393" s="212"/>
      <c r="R1393" s="214"/>
      <c r="AB1393" s="215"/>
      <c r="AG1393" s="215"/>
      <c r="AJ1393" s="215"/>
    </row>
    <row r="1394" spans="1:36" s="213" customFormat="1" x14ac:dyDescent="0.25">
      <c r="A1394" s="212"/>
      <c r="C1394" s="212"/>
      <c r="K1394" s="212"/>
      <c r="L1394" s="212"/>
      <c r="M1394" s="212"/>
      <c r="R1394" s="214"/>
      <c r="AB1394" s="215"/>
      <c r="AG1394" s="215"/>
      <c r="AJ1394" s="215"/>
    </row>
    <row r="1395" spans="1:36" s="213" customFormat="1" x14ac:dyDescent="0.25">
      <c r="A1395" s="212"/>
      <c r="C1395" s="212"/>
      <c r="K1395" s="212"/>
      <c r="L1395" s="212"/>
      <c r="M1395" s="212"/>
      <c r="R1395" s="214"/>
      <c r="AB1395" s="215"/>
      <c r="AG1395" s="215"/>
      <c r="AJ1395" s="215"/>
    </row>
    <row r="1396" spans="1:36" s="213" customFormat="1" x14ac:dyDescent="0.25">
      <c r="A1396" s="212"/>
      <c r="C1396" s="212"/>
      <c r="K1396" s="212"/>
      <c r="L1396" s="212"/>
      <c r="M1396" s="212"/>
      <c r="R1396" s="214"/>
      <c r="AB1396" s="215"/>
      <c r="AG1396" s="215"/>
      <c r="AJ1396" s="215"/>
    </row>
    <row r="1397" spans="1:36" s="213" customFormat="1" x14ac:dyDescent="0.25">
      <c r="A1397" s="212"/>
      <c r="C1397" s="212"/>
      <c r="K1397" s="212"/>
      <c r="L1397" s="212"/>
      <c r="M1397" s="212"/>
      <c r="R1397" s="214"/>
      <c r="AB1397" s="215"/>
      <c r="AG1397" s="215"/>
      <c r="AJ1397" s="215"/>
    </row>
    <row r="1398" spans="1:36" s="213" customFormat="1" x14ac:dyDescent="0.25">
      <c r="A1398" s="212"/>
      <c r="C1398" s="212"/>
      <c r="K1398" s="212"/>
      <c r="L1398" s="212"/>
      <c r="M1398" s="212"/>
      <c r="R1398" s="214"/>
      <c r="AB1398" s="215"/>
      <c r="AG1398" s="215"/>
      <c r="AJ1398" s="215"/>
    </row>
    <row r="1399" spans="1:36" s="213" customFormat="1" x14ac:dyDescent="0.25">
      <c r="A1399" s="212"/>
      <c r="C1399" s="212"/>
      <c r="K1399" s="212"/>
      <c r="L1399" s="212"/>
      <c r="M1399" s="212"/>
      <c r="R1399" s="214"/>
      <c r="AB1399" s="215"/>
      <c r="AG1399" s="215"/>
      <c r="AJ1399" s="215"/>
    </row>
    <row r="1400" spans="1:36" s="213" customFormat="1" x14ac:dyDescent="0.25">
      <c r="A1400" s="212"/>
      <c r="C1400" s="212"/>
      <c r="K1400" s="212"/>
      <c r="L1400" s="212"/>
      <c r="M1400" s="212"/>
      <c r="R1400" s="214"/>
      <c r="AB1400" s="215"/>
      <c r="AG1400" s="215"/>
      <c r="AJ1400" s="215"/>
    </row>
    <row r="1401" spans="1:36" s="213" customFormat="1" x14ac:dyDescent="0.25">
      <c r="A1401" s="212"/>
      <c r="C1401" s="212"/>
      <c r="K1401" s="212"/>
      <c r="L1401" s="212"/>
      <c r="M1401" s="212"/>
      <c r="R1401" s="214"/>
      <c r="AB1401" s="215"/>
      <c r="AG1401" s="215"/>
      <c r="AJ1401" s="215"/>
    </row>
    <row r="1402" spans="1:36" s="213" customFormat="1" x14ac:dyDescent="0.25">
      <c r="A1402" s="212"/>
      <c r="C1402" s="212"/>
      <c r="K1402" s="212"/>
      <c r="L1402" s="212"/>
      <c r="M1402" s="212"/>
      <c r="R1402" s="214"/>
      <c r="AB1402" s="215"/>
      <c r="AG1402" s="215"/>
      <c r="AJ1402" s="215"/>
    </row>
    <row r="1403" spans="1:36" s="213" customFormat="1" x14ac:dyDescent="0.25">
      <c r="A1403" s="212"/>
      <c r="C1403" s="212"/>
      <c r="K1403" s="212"/>
      <c r="L1403" s="212"/>
      <c r="M1403" s="212"/>
      <c r="R1403" s="214"/>
      <c r="AB1403" s="215"/>
      <c r="AG1403" s="215"/>
      <c r="AJ1403" s="215"/>
    </row>
    <row r="1404" spans="1:36" s="213" customFormat="1" x14ac:dyDescent="0.25">
      <c r="A1404" s="212"/>
      <c r="C1404" s="212"/>
      <c r="K1404" s="212"/>
      <c r="L1404" s="212"/>
      <c r="M1404" s="212"/>
      <c r="R1404" s="214"/>
      <c r="AB1404" s="215"/>
      <c r="AG1404" s="215"/>
      <c r="AJ1404" s="215"/>
    </row>
    <row r="1405" spans="1:36" s="213" customFormat="1" x14ac:dyDescent="0.25">
      <c r="A1405" s="212"/>
      <c r="C1405" s="212"/>
      <c r="K1405" s="212"/>
      <c r="L1405" s="212"/>
      <c r="M1405" s="212"/>
      <c r="R1405" s="214"/>
      <c r="AB1405" s="215"/>
      <c r="AG1405" s="215"/>
      <c r="AJ1405" s="215"/>
    </row>
    <row r="1406" spans="1:36" s="213" customFormat="1" x14ac:dyDescent="0.25">
      <c r="A1406" s="212"/>
      <c r="C1406" s="212"/>
      <c r="K1406" s="212"/>
      <c r="L1406" s="212"/>
      <c r="M1406" s="212"/>
      <c r="R1406" s="214"/>
      <c r="AB1406" s="215"/>
      <c r="AG1406" s="215"/>
      <c r="AJ1406" s="215"/>
    </row>
    <row r="1407" spans="1:36" s="213" customFormat="1" x14ac:dyDescent="0.25">
      <c r="A1407" s="212"/>
      <c r="C1407" s="212"/>
      <c r="K1407" s="212"/>
      <c r="L1407" s="212"/>
      <c r="M1407" s="212"/>
      <c r="R1407" s="214"/>
      <c r="AB1407" s="215"/>
      <c r="AG1407" s="215"/>
      <c r="AJ1407" s="215"/>
    </row>
    <row r="1408" spans="1:36" s="213" customFormat="1" x14ac:dyDescent="0.25">
      <c r="A1408" s="212"/>
      <c r="C1408" s="212"/>
      <c r="K1408" s="212"/>
      <c r="L1408" s="212"/>
      <c r="M1408" s="212"/>
      <c r="R1408" s="214"/>
      <c r="AB1408" s="215"/>
      <c r="AG1408" s="215"/>
      <c r="AJ1408" s="215"/>
    </row>
    <row r="1409" spans="1:36" s="213" customFormat="1" x14ac:dyDescent="0.25">
      <c r="A1409" s="212"/>
      <c r="C1409" s="212"/>
      <c r="K1409" s="212"/>
      <c r="L1409" s="212"/>
      <c r="M1409" s="212"/>
      <c r="R1409" s="214"/>
      <c r="AB1409" s="215"/>
      <c r="AG1409" s="215"/>
      <c r="AJ1409" s="215"/>
    </row>
    <row r="1410" spans="1:36" s="213" customFormat="1" x14ac:dyDescent="0.25">
      <c r="A1410" s="212"/>
      <c r="C1410" s="212"/>
      <c r="K1410" s="212"/>
      <c r="L1410" s="212"/>
      <c r="M1410" s="212"/>
      <c r="R1410" s="214"/>
      <c r="AB1410" s="215"/>
      <c r="AG1410" s="215"/>
      <c r="AJ1410" s="215"/>
    </row>
    <row r="1411" spans="1:36" s="213" customFormat="1" x14ac:dyDescent="0.25">
      <c r="A1411" s="212"/>
      <c r="C1411" s="212"/>
      <c r="K1411" s="212"/>
      <c r="L1411" s="212"/>
      <c r="M1411" s="212"/>
      <c r="R1411" s="214"/>
      <c r="AB1411" s="215"/>
      <c r="AG1411" s="215"/>
      <c r="AJ1411" s="215"/>
    </row>
    <row r="1412" spans="1:36" s="213" customFormat="1" x14ac:dyDescent="0.25">
      <c r="A1412" s="212"/>
      <c r="C1412" s="212"/>
      <c r="K1412" s="212"/>
      <c r="L1412" s="212"/>
      <c r="M1412" s="212"/>
      <c r="R1412" s="214"/>
      <c r="AB1412" s="215"/>
      <c r="AG1412" s="215"/>
      <c r="AJ1412" s="215"/>
    </row>
    <row r="1413" spans="1:36" s="213" customFormat="1" x14ac:dyDescent="0.25">
      <c r="A1413" s="212"/>
      <c r="C1413" s="212"/>
      <c r="K1413" s="212"/>
      <c r="L1413" s="212"/>
      <c r="M1413" s="212"/>
      <c r="R1413" s="214"/>
      <c r="AB1413" s="215"/>
      <c r="AG1413" s="215"/>
      <c r="AJ1413" s="215"/>
    </row>
    <row r="1414" spans="1:36" s="213" customFormat="1" x14ac:dyDescent="0.25">
      <c r="A1414" s="212"/>
      <c r="C1414" s="212"/>
      <c r="K1414" s="212"/>
      <c r="L1414" s="212"/>
      <c r="M1414" s="212"/>
      <c r="R1414" s="214"/>
      <c r="AB1414" s="215"/>
      <c r="AG1414" s="215"/>
      <c r="AJ1414" s="215"/>
    </row>
    <row r="1415" spans="1:36" s="213" customFormat="1" x14ac:dyDescent="0.25">
      <c r="A1415" s="212"/>
      <c r="C1415" s="212"/>
      <c r="K1415" s="212"/>
      <c r="L1415" s="212"/>
      <c r="M1415" s="212"/>
      <c r="R1415" s="214"/>
      <c r="AB1415" s="215"/>
      <c r="AG1415" s="215"/>
      <c r="AJ1415" s="215"/>
    </row>
    <row r="1416" spans="1:36" s="213" customFormat="1" x14ac:dyDescent="0.25">
      <c r="A1416" s="212"/>
      <c r="C1416" s="212"/>
      <c r="K1416" s="212"/>
      <c r="L1416" s="212"/>
      <c r="M1416" s="212"/>
      <c r="R1416" s="214"/>
      <c r="AB1416" s="215"/>
      <c r="AG1416" s="215"/>
      <c r="AJ1416" s="215"/>
    </row>
    <row r="1417" spans="1:36" s="213" customFormat="1" x14ac:dyDescent="0.25">
      <c r="A1417" s="212"/>
      <c r="C1417" s="212"/>
      <c r="K1417" s="212"/>
      <c r="L1417" s="212"/>
      <c r="M1417" s="212"/>
      <c r="R1417" s="214"/>
      <c r="AB1417" s="215"/>
      <c r="AG1417" s="215"/>
      <c r="AJ1417" s="215"/>
    </row>
    <row r="1418" spans="1:36" s="213" customFormat="1" x14ac:dyDescent="0.25">
      <c r="A1418" s="212"/>
      <c r="C1418" s="212"/>
      <c r="K1418" s="212"/>
      <c r="L1418" s="212"/>
      <c r="M1418" s="212"/>
      <c r="R1418" s="214"/>
      <c r="AB1418" s="215"/>
      <c r="AG1418" s="215"/>
      <c r="AJ1418" s="215"/>
    </row>
    <row r="1419" spans="1:36" s="213" customFormat="1" x14ac:dyDescent="0.25">
      <c r="A1419" s="212"/>
      <c r="C1419" s="212"/>
      <c r="K1419" s="212"/>
      <c r="L1419" s="212"/>
      <c r="M1419" s="212"/>
      <c r="R1419" s="214"/>
      <c r="AB1419" s="215"/>
      <c r="AG1419" s="215"/>
      <c r="AJ1419" s="215"/>
    </row>
    <row r="1420" spans="1:36" s="213" customFormat="1" x14ac:dyDescent="0.25">
      <c r="A1420" s="212"/>
      <c r="C1420" s="212"/>
      <c r="K1420" s="212"/>
      <c r="L1420" s="212"/>
      <c r="M1420" s="212"/>
      <c r="R1420" s="214"/>
      <c r="AB1420" s="215"/>
      <c r="AG1420" s="215"/>
      <c r="AJ1420" s="215"/>
    </row>
    <row r="1421" spans="1:36" s="213" customFormat="1" x14ac:dyDescent="0.25">
      <c r="A1421" s="212"/>
      <c r="C1421" s="212"/>
      <c r="K1421" s="212"/>
      <c r="L1421" s="212"/>
      <c r="M1421" s="212"/>
      <c r="R1421" s="214"/>
      <c r="AB1421" s="215"/>
      <c r="AG1421" s="215"/>
      <c r="AJ1421" s="215"/>
    </row>
    <row r="1422" spans="1:36" s="213" customFormat="1" x14ac:dyDescent="0.25">
      <c r="A1422" s="212"/>
      <c r="C1422" s="212"/>
      <c r="K1422" s="212"/>
      <c r="L1422" s="212"/>
      <c r="M1422" s="212"/>
      <c r="R1422" s="214"/>
      <c r="AB1422" s="215"/>
      <c r="AG1422" s="215"/>
      <c r="AJ1422" s="215"/>
    </row>
    <row r="1423" spans="1:36" s="213" customFormat="1" x14ac:dyDescent="0.25">
      <c r="A1423" s="212"/>
      <c r="C1423" s="212"/>
      <c r="K1423" s="212"/>
      <c r="L1423" s="212"/>
      <c r="M1423" s="212"/>
      <c r="R1423" s="214"/>
      <c r="AB1423" s="215"/>
      <c r="AG1423" s="215"/>
      <c r="AJ1423" s="215"/>
    </row>
    <row r="1424" spans="1:36" s="213" customFormat="1" x14ac:dyDescent="0.25">
      <c r="A1424" s="212"/>
      <c r="C1424" s="212"/>
      <c r="K1424" s="212"/>
      <c r="L1424" s="212"/>
      <c r="M1424" s="212"/>
      <c r="R1424" s="214"/>
      <c r="AB1424" s="215"/>
      <c r="AG1424" s="215"/>
      <c r="AJ1424" s="215"/>
    </row>
    <row r="1425" spans="1:36" s="213" customFormat="1" x14ac:dyDescent="0.25">
      <c r="A1425" s="212"/>
      <c r="C1425" s="212"/>
      <c r="K1425" s="212"/>
      <c r="L1425" s="212"/>
      <c r="M1425" s="212"/>
      <c r="R1425" s="214"/>
      <c r="AB1425" s="215"/>
      <c r="AG1425" s="215"/>
      <c r="AJ1425" s="215"/>
    </row>
    <row r="1426" spans="1:36" s="213" customFormat="1" x14ac:dyDescent="0.25">
      <c r="A1426" s="212"/>
      <c r="C1426" s="212"/>
      <c r="K1426" s="212"/>
      <c r="L1426" s="212"/>
      <c r="M1426" s="212"/>
      <c r="R1426" s="214"/>
      <c r="AB1426" s="215"/>
      <c r="AG1426" s="215"/>
      <c r="AJ1426" s="215"/>
    </row>
    <row r="1427" spans="1:36" s="213" customFormat="1" x14ac:dyDescent="0.25">
      <c r="A1427" s="212"/>
      <c r="C1427" s="212"/>
      <c r="K1427" s="212"/>
      <c r="L1427" s="212"/>
      <c r="M1427" s="212"/>
      <c r="R1427" s="214"/>
      <c r="AB1427" s="215"/>
      <c r="AG1427" s="215"/>
      <c r="AJ1427" s="215"/>
    </row>
    <row r="1428" spans="1:36" s="213" customFormat="1" x14ac:dyDescent="0.25">
      <c r="A1428" s="212"/>
      <c r="C1428" s="212"/>
      <c r="K1428" s="212"/>
      <c r="L1428" s="212"/>
      <c r="M1428" s="212"/>
      <c r="R1428" s="214"/>
      <c r="AB1428" s="215"/>
      <c r="AG1428" s="215"/>
      <c r="AJ1428" s="215"/>
    </row>
    <row r="1429" spans="1:36" s="213" customFormat="1" x14ac:dyDescent="0.25">
      <c r="A1429" s="212"/>
      <c r="C1429" s="212"/>
      <c r="K1429" s="212"/>
      <c r="L1429" s="212"/>
      <c r="M1429" s="212"/>
      <c r="R1429" s="214"/>
      <c r="AB1429" s="215"/>
      <c r="AG1429" s="215"/>
      <c r="AJ1429" s="215"/>
    </row>
    <row r="1430" spans="1:36" s="213" customFormat="1" x14ac:dyDescent="0.25">
      <c r="A1430" s="212"/>
      <c r="C1430" s="212"/>
      <c r="K1430" s="212"/>
      <c r="L1430" s="212"/>
      <c r="M1430" s="212"/>
      <c r="R1430" s="214"/>
      <c r="AB1430" s="215"/>
      <c r="AG1430" s="215"/>
      <c r="AJ1430" s="215"/>
    </row>
    <row r="1431" spans="1:36" s="213" customFormat="1" x14ac:dyDescent="0.25">
      <c r="A1431" s="212"/>
      <c r="C1431" s="212"/>
      <c r="K1431" s="212"/>
      <c r="L1431" s="212"/>
      <c r="M1431" s="212"/>
      <c r="R1431" s="214"/>
      <c r="AB1431" s="215"/>
      <c r="AG1431" s="215"/>
      <c r="AJ1431" s="215"/>
    </row>
    <row r="1432" spans="1:36" s="213" customFormat="1" x14ac:dyDescent="0.25">
      <c r="A1432" s="212"/>
      <c r="C1432" s="212"/>
      <c r="K1432" s="212"/>
      <c r="L1432" s="212"/>
      <c r="M1432" s="212"/>
      <c r="R1432" s="214"/>
      <c r="AB1432" s="215"/>
      <c r="AG1432" s="215"/>
      <c r="AJ1432" s="215"/>
    </row>
    <row r="1433" spans="1:36" s="213" customFormat="1" x14ac:dyDescent="0.25">
      <c r="A1433" s="212"/>
      <c r="C1433" s="212"/>
      <c r="K1433" s="212"/>
      <c r="L1433" s="212"/>
      <c r="M1433" s="212"/>
      <c r="R1433" s="214"/>
      <c r="AB1433" s="215"/>
      <c r="AG1433" s="215"/>
      <c r="AJ1433" s="215"/>
    </row>
    <row r="1434" spans="1:36" s="213" customFormat="1" x14ac:dyDescent="0.25">
      <c r="A1434" s="212"/>
      <c r="C1434" s="212"/>
      <c r="K1434" s="212"/>
      <c r="L1434" s="212"/>
      <c r="M1434" s="212"/>
      <c r="R1434" s="214"/>
      <c r="AB1434" s="215"/>
      <c r="AG1434" s="215"/>
      <c r="AJ1434" s="215"/>
    </row>
    <row r="1435" spans="1:36" s="213" customFormat="1" x14ac:dyDescent="0.25">
      <c r="A1435" s="212"/>
      <c r="C1435" s="212"/>
      <c r="K1435" s="212"/>
      <c r="L1435" s="212"/>
      <c r="M1435" s="212"/>
      <c r="R1435" s="214"/>
      <c r="AB1435" s="215"/>
      <c r="AG1435" s="215"/>
      <c r="AJ1435" s="215"/>
    </row>
    <row r="1436" spans="1:36" s="213" customFormat="1" x14ac:dyDescent="0.25">
      <c r="A1436" s="212"/>
      <c r="C1436" s="212"/>
      <c r="K1436" s="212"/>
      <c r="L1436" s="212"/>
      <c r="M1436" s="212"/>
      <c r="R1436" s="214"/>
      <c r="AB1436" s="215"/>
      <c r="AG1436" s="215"/>
      <c r="AJ1436" s="215"/>
    </row>
    <row r="1437" spans="1:36" s="213" customFormat="1" x14ac:dyDescent="0.25">
      <c r="A1437" s="212"/>
      <c r="C1437" s="212"/>
      <c r="K1437" s="212"/>
      <c r="L1437" s="212"/>
      <c r="M1437" s="212"/>
      <c r="R1437" s="214"/>
      <c r="AB1437" s="215"/>
      <c r="AG1437" s="215"/>
      <c r="AJ1437" s="215"/>
    </row>
    <row r="1438" spans="1:36" s="213" customFormat="1" x14ac:dyDescent="0.25">
      <c r="A1438" s="212"/>
      <c r="C1438" s="212"/>
      <c r="K1438" s="212"/>
      <c r="L1438" s="212"/>
      <c r="M1438" s="212"/>
      <c r="R1438" s="214"/>
      <c r="AB1438" s="215"/>
      <c r="AG1438" s="215"/>
      <c r="AJ1438" s="215"/>
    </row>
    <row r="1439" spans="1:36" s="213" customFormat="1" x14ac:dyDescent="0.25">
      <c r="A1439" s="212"/>
      <c r="C1439" s="212"/>
      <c r="K1439" s="212"/>
      <c r="L1439" s="212"/>
      <c r="M1439" s="212"/>
      <c r="R1439" s="214"/>
      <c r="AB1439" s="215"/>
      <c r="AG1439" s="215"/>
      <c r="AJ1439" s="215"/>
    </row>
    <row r="1440" spans="1:36" s="213" customFormat="1" x14ac:dyDescent="0.25">
      <c r="A1440" s="212"/>
      <c r="C1440" s="212"/>
      <c r="K1440" s="212"/>
      <c r="L1440" s="212"/>
      <c r="M1440" s="212"/>
      <c r="R1440" s="214"/>
      <c r="AB1440" s="215"/>
      <c r="AG1440" s="215"/>
      <c r="AJ1440" s="215"/>
    </row>
    <row r="1441" spans="1:36" s="213" customFormat="1" x14ac:dyDescent="0.25">
      <c r="A1441" s="212"/>
      <c r="C1441" s="212"/>
      <c r="K1441" s="212"/>
      <c r="L1441" s="212"/>
      <c r="M1441" s="212"/>
      <c r="R1441" s="214"/>
      <c r="AB1441" s="215"/>
      <c r="AG1441" s="215"/>
      <c r="AJ1441" s="215"/>
    </row>
    <row r="1442" spans="1:36" s="213" customFormat="1" x14ac:dyDescent="0.25">
      <c r="A1442" s="212"/>
      <c r="C1442" s="212"/>
      <c r="K1442" s="212"/>
      <c r="L1442" s="212"/>
      <c r="M1442" s="212"/>
      <c r="R1442" s="214"/>
      <c r="AB1442" s="215"/>
      <c r="AG1442" s="215"/>
      <c r="AJ1442" s="215"/>
    </row>
    <row r="1443" spans="1:36" s="213" customFormat="1" x14ac:dyDescent="0.25">
      <c r="A1443" s="212"/>
      <c r="C1443" s="212"/>
      <c r="K1443" s="212"/>
      <c r="L1443" s="212"/>
      <c r="M1443" s="212"/>
      <c r="R1443" s="214"/>
      <c r="AB1443" s="215"/>
      <c r="AG1443" s="215"/>
      <c r="AJ1443" s="215"/>
    </row>
    <row r="1444" spans="1:36" s="213" customFormat="1" x14ac:dyDescent="0.25">
      <c r="A1444" s="212"/>
      <c r="C1444" s="212"/>
      <c r="K1444" s="212"/>
      <c r="L1444" s="212"/>
      <c r="M1444" s="212"/>
      <c r="R1444" s="214"/>
      <c r="AB1444" s="215"/>
      <c r="AG1444" s="215"/>
      <c r="AJ1444" s="215"/>
    </row>
    <row r="1445" spans="1:36" s="213" customFormat="1" x14ac:dyDescent="0.25">
      <c r="A1445" s="212"/>
      <c r="C1445" s="212"/>
      <c r="K1445" s="212"/>
      <c r="L1445" s="212"/>
      <c r="M1445" s="212"/>
      <c r="R1445" s="214"/>
      <c r="AB1445" s="215"/>
      <c r="AG1445" s="215"/>
      <c r="AJ1445" s="215"/>
    </row>
    <row r="1446" spans="1:36" s="213" customFormat="1" x14ac:dyDescent="0.25">
      <c r="A1446" s="212"/>
      <c r="C1446" s="212"/>
      <c r="K1446" s="212"/>
      <c r="L1446" s="212"/>
      <c r="M1446" s="212"/>
      <c r="R1446" s="214"/>
      <c r="AB1446" s="215"/>
      <c r="AG1446" s="215"/>
      <c r="AJ1446" s="215"/>
    </row>
    <row r="1447" spans="1:36" s="213" customFormat="1" x14ac:dyDescent="0.25">
      <c r="A1447" s="212"/>
      <c r="C1447" s="212"/>
      <c r="K1447" s="212"/>
      <c r="L1447" s="212"/>
      <c r="M1447" s="212"/>
      <c r="R1447" s="214"/>
      <c r="AB1447" s="215"/>
      <c r="AG1447" s="215"/>
      <c r="AJ1447" s="215"/>
    </row>
    <row r="1448" spans="1:36" s="213" customFormat="1" x14ac:dyDescent="0.25">
      <c r="A1448" s="212"/>
      <c r="C1448" s="212"/>
      <c r="K1448" s="212"/>
      <c r="L1448" s="212"/>
      <c r="M1448" s="212"/>
      <c r="R1448" s="214"/>
      <c r="AB1448" s="215"/>
      <c r="AG1448" s="215"/>
      <c r="AJ1448" s="215"/>
    </row>
    <row r="1449" spans="1:36" s="213" customFormat="1" x14ac:dyDescent="0.25">
      <c r="A1449" s="212"/>
      <c r="C1449" s="212"/>
      <c r="K1449" s="212"/>
      <c r="L1449" s="212"/>
      <c r="M1449" s="212"/>
      <c r="R1449" s="214"/>
      <c r="AB1449" s="215"/>
      <c r="AG1449" s="215"/>
      <c r="AJ1449" s="215"/>
    </row>
    <row r="1450" spans="1:36" s="213" customFormat="1" x14ac:dyDescent="0.25">
      <c r="A1450" s="212"/>
      <c r="C1450" s="212"/>
      <c r="K1450" s="212"/>
      <c r="L1450" s="212"/>
      <c r="M1450" s="212"/>
      <c r="R1450" s="214"/>
      <c r="AB1450" s="215"/>
      <c r="AG1450" s="215"/>
      <c r="AJ1450" s="215"/>
    </row>
    <row r="1451" spans="1:36" s="213" customFormat="1" x14ac:dyDescent="0.25">
      <c r="A1451" s="212"/>
      <c r="C1451" s="212"/>
      <c r="K1451" s="212"/>
      <c r="L1451" s="212"/>
      <c r="M1451" s="212"/>
      <c r="R1451" s="214"/>
      <c r="AB1451" s="215"/>
      <c r="AG1451" s="215"/>
      <c r="AJ1451" s="215"/>
    </row>
    <row r="1452" spans="1:36" s="213" customFormat="1" x14ac:dyDescent="0.25">
      <c r="A1452" s="212"/>
      <c r="C1452" s="212"/>
      <c r="K1452" s="212"/>
      <c r="L1452" s="212"/>
      <c r="M1452" s="212"/>
      <c r="R1452" s="214"/>
      <c r="AB1452" s="215"/>
      <c r="AG1452" s="215"/>
      <c r="AJ1452" s="215"/>
    </row>
    <row r="1453" spans="1:36" s="213" customFormat="1" x14ac:dyDescent="0.25">
      <c r="A1453" s="212"/>
      <c r="C1453" s="212"/>
      <c r="K1453" s="212"/>
      <c r="L1453" s="212"/>
      <c r="M1453" s="212"/>
      <c r="R1453" s="214"/>
      <c r="AB1453" s="215"/>
      <c r="AG1453" s="215"/>
      <c r="AJ1453" s="215"/>
    </row>
    <row r="1454" spans="1:36" s="213" customFormat="1" x14ac:dyDescent="0.25">
      <c r="A1454" s="212"/>
      <c r="C1454" s="212"/>
      <c r="K1454" s="212"/>
      <c r="L1454" s="212"/>
      <c r="M1454" s="212"/>
      <c r="R1454" s="214"/>
      <c r="AB1454" s="215"/>
      <c r="AG1454" s="215"/>
      <c r="AJ1454" s="215"/>
    </row>
    <row r="1455" spans="1:36" s="213" customFormat="1" x14ac:dyDescent="0.25">
      <c r="A1455" s="212"/>
      <c r="C1455" s="212"/>
      <c r="K1455" s="212"/>
      <c r="L1455" s="212"/>
      <c r="M1455" s="212"/>
      <c r="R1455" s="214"/>
      <c r="AB1455" s="215"/>
      <c r="AG1455" s="215"/>
      <c r="AJ1455" s="215"/>
    </row>
    <row r="1456" spans="1:36" s="213" customFormat="1" x14ac:dyDescent="0.25">
      <c r="A1456" s="212"/>
      <c r="C1456" s="212"/>
      <c r="K1456" s="212"/>
      <c r="L1456" s="212"/>
      <c r="M1456" s="212"/>
      <c r="R1456" s="214"/>
      <c r="AB1456" s="215"/>
      <c r="AG1456" s="215"/>
      <c r="AJ1456" s="215"/>
    </row>
    <row r="1457" spans="1:36" s="213" customFormat="1" x14ac:dyDescent="0.25">
      <c r="A1457" s="212"/>
      <c r="C1457" s="212"/>
      <c r="K1457" s="212"/>
      <c r="L1457" s="212"/>
      <c r="M1457" s="212"/>
      <c r="R1457" s="214"/>
      <c r="AB1457" s="215"/>
      <c r="AG1457" s="215"/>
      <c r="AJ1457" s="215"/>
    </row>
    <row r="1458" spans="1:36" s="213" customFormat="1" x14ac:dyDescent="0.25">
      <c r="A1458" s="212"/>
      <c r="C1458" s="212"/>
      <c r="K1458" s="212"/>
      <c r="L1458" s="212"/>
      <c r="M1458" s="212"/>
      <c r="R1458" s="214"/>
      <c r="AB1458" s="215"/>
      <c r="AG1458" s="215"/>
      <c r="AJ1458" s="215"/>
    </row>
    <row r="1459" spans="1:36" s="213" customFormat="1" x14ac:dyDescent="0.25">
      <c r="A1459" s="212"/>
      <c r="C1459" s="212"/>
      <c r="K1459" s="212"/>
      <c r="L1459" s="212"/>
      <c r="M1459" s="212"/>
      <c r="R1459" s="214"/>
      <c r="AB1459" s="215"/>
      <c r="AG1459" s="215"/>
      <c r="AJ1459" s="215"/>
    </row>
    <row r="1460" spans="1:36" s="213" customFormat="1" x14ac:dyDescent="0.25">
      <c r="A1460" s="212"/>
      <c r="C1460" s="212"/>
      <c r="K1460" s="212"/>
      <c r="L1460" s="212"/>
      <c r="M1460" s="212"/>
      <c r="R1460" s="214"/>
      <c r="AB1460" s="215"/>
      <c r="AG1460" s="215"/>
      <c r="AJ1460" s="215"/>
    </row>
    <row r="1461" spans="1:36" s="213" customFormat="1" x14ac:dyDescent="0.25">
      <c r="A1461" s="212"/>
      <c r="C1461" s="212"/>
      <c r="K1461" s="212"/>
      <c r="L1461" s="212"/>
      <c r="M1461" s="212"/>
      <c r="R1461" s="214"/>
      <c r="AB1461" s="215"/>
      <c r="AG1461" s="215"/>
      <c r="AJ1461" s="215"/>
    </row>
    <row r="1462" spans="1:36" s="213" customFormat="1" x14ac:dyDescent="0.25">
      <c r="A1462" s="212"/>
      <c r="C1462" s="212"/>
      <c r="K1462" s="212"/>
      <c r="L1462" s="212"/>
      <c r="M1462" s="212"/>
      <c r="R1462" s="214"/>
      <c r="AB1462" s="215"/>
      <c r="AG1462" s="215"/>
      <c r="AJ1462" s="215"/>
    </row>
    <row r="1463" spans="1:36" s="213" customFormat="1" x14ac:dyDescent="0.25">
      <c r="A1463" s="212"/>
      <c r="C1463" s="212"/>
      <c r="K1463" s="212"/>
      <c r="L1463" s="212"/>
      <c r="M1463" s="212"/>
      <c r="R1463" s="214"/>
      <c r="AB1463" s="215"/>
      <c r="AG1463" s="215"/>
      <c r="AJ1463" s="215"/>
    </row>
    <row r="1464" spans="1:36" s="213" customFormat="1" x14ac:dyDescent="0.25">
      <c r="A1464" s="212"/>
      <c r="C1464" s="212"/>
      <c r="K1464" s="212"/>
      <c r="L1464" s="212"/>
      <c r="M1464" s="212"/>
      <c r="R1464" s="214"/>
      <c r="AB1464" s="215"/>
      <c r="AG1464" s="215"/>
      <c r="AJ1464" s="215"/>
    </row>
    <row r="1465" spans="1:36" s="213" customFormat="1" x14ac:dyDescent="0.25">
      <c r="A1465" s="212"/>
      <c r="C1465" s="212"/>
      <c r="K1465" s="212"/>
      <c r="L1465" s="212"/>
      <c r="M1465" s="212"/>
      <c r="R1465" s="214"/>
      <c r="AB1465" s="215"/>
      <c r="AG1465" s="215"/>
      <c r="AJ1465" s="215"/>
    </row>
    <row r="1466" spans="1:36" s="213" customFormat="1" x14ac:dyDescent="0.25">
      <c r="A1466" s="212"/>
      <c r="C1466" s="212"/>
      <c r="K1466" s="212"/>
      <c r="L1466" s="212"/>
      <c r="M1466" s="212"/>
      <c r="R1466" s="214"/>
      <c r="AB1466" s="215"/>
      <c r="AG1466" s="215"/>
      <c r="AJ1466" s="215"/>
    </row>
    <row r="1467" spans="1:36" s="213" customFormat="1" x14ac:dyDescent="0.25">
      <c r="A1467" s="212"/>
      <c r="C1467" s="212"/>
      <c r="K1467" s="212"/>
      <c r="L1467" s="212"/>
      <c r="M1467" s="212"/>
      <c r="R1467" s="214"/>
      <c r="AB1467" s="215"/>
      <c r="AG1467" s="215"/>
      <c r="AJ1467" s="215"/>
    </row>
    <row r="1468" spans="1:36" s="213" customFormat="1" x14ac:dyDescent="0.25">
      <c r="A1468" s="212"/>
      <c r="C1468" s="212"/>
      <c r="K1468" s="212"/>
      <c r="L1468" s="212"/>
      <c r="M1468" s="212"/>
      <c r="R1468" s="214"/>
      <c r="AB1468" s="215"/>
      <c r="AG1468" s="215"/>
      <c r="AJ1468" s="215"/>
    </row>
    <row r="1469" spans="1:36" s="213" customFormat="1" x14ac:dyDescent="0.25">
      <c r="A1469" s="212"/>
      <c r="C1469" s="212"/>
      <c r="K1469" s="212"/>
      <c r="L1469" s="212"/>
      <c r="M1469" s="212"/>
      <c r="R1469" s="214"/>
      <c r="AB1469" s="215"/>
      <c r="AG1469" s="215"/>
      <c r="AJ1469" s="215"/>
    </row>
    <row r="1470" spans="1:36" s="213" customFormat="1" x14ac:dyDescent="0.25">
      <c r="A1470" s="212"/>
      <c r="C1470" s="212"/>
      <c r="K1470" s="212"/>
      <c r="L1470" s="212"/>
      <c r="M1470" s="212"/>
      <c r="R1470" s="214"/>
      <c r="AB1470" s="215"/>
      <c r="AG1470" s="215"/>
      <c r="AJ1470" s="215"/>
    </row>
    <row r="1471" spans="1:36" s="213" customFormat="1" x14ac:dyDescent="0.25">
      <c r="A1471" s="212"/>
      <c r="C1471" s="212"/>
      <c r="K1471" s="212"/>
      <c r="L1471" s="212"/>
      <c r="M1471" s="212"/>
      <c r="R1471" s="214"/>
      <c r="AB1471" s="215"/>
      <c r="AG1471" s="215"/>
      <c r="AJ1471" s="215"/>
    </row>
    <row r="1472" spans="1:36" s="213" customFormat="1" x14ac:dyDescent="0.25">
      <c r="A1472" s="212"/>
      <c r="C1472" s="212"/>
      <c r="K1472" s="212"/>
      <c r="L1472" s="212"/>
      <c r="M1472" s="212"/>
      <c r="R1472" s="214"/>
      <c r="AB1472" s="215"/>
      <c r="AG1472" s="215"/>
      <c r="AJ1472" s="215"/>
    </row>
    <row r="1473" spans="1:36" s="213" customFormat="1" x14ac:dyDescent="0.25">
      <c r="A1473" s="212"/>
      <c r="C1473" s="212"/>
      <c r="K1473" s="212"/>
      <c r="L1473" s="212"/>
      <c r="M1473" s="212"/>
      <c r="R1473" s="214"/>
      <c r="AB1473" s="215"/>
      <c r="AG1473" s="215"/>
      <c r="AJ1473" s="215"/>
    </row>
    <row r="1474" spans="1:36" s="213" customFormat="1" x14ac:dyDescent="0.25">
      <c r="A1474" s="212"/>
      <c r="C1474" s="212"/>
      <c r="K1474" s="212"/>
      <c r="L1474" s="212"/>
      <c r="M1474" s="212"/>
      <c r="R1474" s="214"/>
      <c r="AB1474" s="215"/>
      <c r="AG1474" s="215"/>
      <c r="AJ1474" s="215"/>
    </row>
    <row r="1475" spans="1:36" s="213" customFormat="1" x14ac:dyDescent="0.25">
      <c r="A1475" s="212"/>
      <c r="C1475" s="212"/>
      <c r="K1475" s="212"/>
      <c r="L1475" s="212"/>
      <c r="M1475" s="212"/>
      <c r="R1475" s="214"/>
      <c r="AB1475" s="215"/>
      <c r="AG1475" s="215"/>
      <c r="AJ1475" s="215"/>
    </row>
    <row r="1476" spans="1:36" s="213" customFormat="1" x14ac:dyDescent="0.25">
      <c r="A1476" s="212"/>
      <c r="C1476" s="212"/>
      <c r="K1476" s="212"/>
      <c r="L1476" s="212"/>
      <c r="M1476" s="212"/>
      <c r="R1476" s="214"/>
      <c r="AB1476" s="215"/>
      <c r="AG1476" s="215"/>
      <c r="AJ1476" s="215"/>
    </row>
    <row r="1477" spans="1:36" s="213" customFormat="1" x14ac:dyDescent="0.25">
      <c r="A1477" s="212"/>
      <c r="C1477" s="212"/>
      <c r="K1477" s="212"/>
      <c r="L1477" s="212"/>
      <c r="M1477" s="212"/>
      <c r="R1477" s="214"/>
      <c r="AB1477" s="215"/>
      <c r="AG1477" s="215"/>
      <c r="AJ1477" s="215"/>
    </row>
    <row r="1478" spans="1:36" s="213" customFormat="1" x14ac:dyDescent="0.25">
      <c r="A1478" s="212"/>
      <c r="C1478" s="212"/>
      <c r="K1478" s="212"/>
      <c r="L1478" s="212"/>
      <c r="M1478" s="212"/>
      <c r="R1478" s="214"/>
      <c r="AB1478" s="215"/>
      <c r="AG1478" s="215"/>
      <c r="AJ1478" s="215"/>
    </row>
    <row r="1479" spans="1:36" s="213" customFormat="1" x14ac:dyDescent="0.25">
      <c r="A1479" s="212"/>
      <c r="C1479" s="212"/>
      <c r="K1479" s="212"/>
      <c r="L1479" s="212"/>
      <c r="M1479" s="212"/>
      <c r="R1479" s="214"/>
      <c r="AB1479" s="215"/>
      <c r="AG1479" s="215"/>
      <c r="AJ1479" s="215"/>
    </row>
    <row r="1480" spans="1:36" s="213" customFormat="1" x14ac:dyDescent="0.25">
      <c r="A1480" s="212"/>
      <c r="C1480" s="212"/>
      <c r="K1480" s="212"/>
      <c r="L1480" s="212"/>
      <c r="M1480" s="212"/>
      <c r="R1480" s="214"/>
      <c r="AB1480" s="215"/>
      <c r="AG1480" s="215"/>
      <c r="AJ1480" s="215"/>
    </row>
    <row r="1481" spans="1:36" s="213" customFormat="1" x14ac:dyDescent="0.25">
      <c r="A1481" s="212"/>
      <c r="C1481" s="212"/>
      <c r="K1481" s="212"/>
      <c r="L1481" s="212"/>
      <c r="M1481" s="212"/>
      <c r="R1481" s="214"/>
      <c r="AB1481" s="215"/>
      <c r="AG1481" s="215"/>
      <c r="AJ1481" s="215"/>
    </row>
    <row r="1482" spans="1:36" s="213" customFormat="1" x14ac:dyDescent="0.25">
      <c r="A1482" s="212"/>
      <c r="C1482" s="212"/>
      <c r="K1482" s="212"/>
      <c r="L1482" s="212"/>
      <c r="M1482" s="212"/>
      <c r="R1482" s="214"/>
      <c r="AB1482" s="215"/>
      <c r="AG1482" s="215"/>
      <c r="AJ1482" s="215"/>
    </row>
    <row r="1483" spans="1:36" s="213" customFormat="1" x14ac:dyDescent="0.25">
      <c r="A1483" s="212"/>
      <c r="C1483" s="212"/>
      <c r="K1483" s="212"/>
      <c r="L1483" s="212"/>
      <c r="M1483" s="212"/>
      <c r="R1483" s="214"/>
      <c r="AB1483" s="215"/>
      <c r="AG1483" s="215"/>
      <c r="AJ1483" s="215"/>
    </row>
    <row r="1484" spans="1:36" s="213" customFormat="1" x14ac:dyDescent="0.25">
      <c r="A1484" s="212"/>
      <c r="C1484" s="212"/>
      <c r="K1484" s="212"/>
      <c r="L1484" s="212"/>
      <c r="M1484" s="212"/>
      <c r="R1484" s="214"/>
      <c r="AB1484" s="215"/>
      <c r="AG1484" s="215"/>
      <c r="AJ1484" s="215"/>
    </row>
    <row r="1485" spans="1:36" s="213" customFormat="1" x14ac:dyDescent="0.25">
      <c r="A1485" s="212"/>
      <c r="C1485" s="212"/>
      <c r="K1485" s="212"/>
      <c r="L1485" s="212"/>
      <c r="M1485" s="212"/>
      <c r="R1485" s="214"/>
      <c r="AB1485" s="215"/>
      <c r="AG1485" s="215"/>
      <c r="AJ1485" s="215"/>
    </row>
    <row r="1486" spans="1:36" s="213" customFormat="1" x14ac:dyDescent="0.25">
      <c r="A1486" s="212"/>
      <c r="C1486" s="212"/>
      <c r="K1486" s="212"/>
      <c r="L1486" s="212"/>
      <c r="M1486" s="212"/>
      <c r="R1486" s="214"/>
      <c r="AB1486" s="215"/>
      <c r="AG1486" s="215"/>
      <c r="AJ1486" s="215"/>
    </row>
    <row r="1487" spans="1:36" s="213" customFormat="1" x14ac:dyDescent="0.25">
      <c r="A1487" s="212"/>
      <c r="C1487" s="212"/>
      <c r="K1487" s="212"/>
      <c r="L1487" s="212"/>
      <c r="M1487" s="212"/>
      <c r="R1487" s="214"/>
      <c r="AB1487" s="215"/>
      <c r="AG1487" s="215"/>
      <c r="AJ1487" s="215"/>
    </row>
    <row r="1488" spans="1:36" s="213" customFormat="1" x14ac:dyDescent="0.25">
      <c r="A1488" s="212"/>
      <c r="C1488" s="212"/>
      <c r="K1488" s="212"/>
      <c r="L1488" s="212"/>
      <c r="M1488" s="212"/>
      <c r="R1488" s="214"/>
      <c r="AB1488" s="215"/>
      <c r="AG1488" s="215"/>
      <c r="AJ1488" s="215"/>
    </row>
    <row r="1489" spans="1:36" s="213" customFormat="1" x14ac:dyDescent="0.25">
      <c r="A1489" s="212"/>
      <c r="C1489" s="212"/>
      <c r="K1489" s="212"/>
      <c r="L1489" s="212"/>
      <c r="M1489" s="212"/>
      <c r="R1489" s="214"/>
      <c r="AB1489" s="215"/>
      <c r="AG1489" s="215"/>
      <c r="AJ1489" s="215"/>
    </row>
    <row r="1490" spans="1:36" s="213" customFormat="1" x14ac:dyDescent="0.25">
      <c r="A1490" s="212"/>
      <c r="C1490" s="212"/>
      <c r="K1490" s="212"/>
      <c r="L1490" s="212"/>
      <c r="M1490" s="212"/>
      <c r="R1490" s="214"/>
      <c r="AB1490" s="215"/>
      <c r="AG1490" s="215"/>
      <c r="AJ1490" s="215"/>
    </row>
    <row r="1491" spans="1:36" s="213" customFormat="1" x14ac:dyDescent="0.25">
      <c r="A1491" s="212"/>
      <c r="C1491" s="212"/>
      <c r="K1491" s="212"/>
      <c r="L1491" s="212"/>
      <c r="M1491" s="212"/>
      <c r="R1491" s="214"/>
      <c r="AB1491" s="215"/>
      <c r="AG1491" s="215"/>
      <c r="AJ1491" s="215"/>
    </row>
    <row r="1492" spans="1:36" s="213" customFormat="1" x14ac:dyDescent="0.25">
      <c r="A1492" s="212"/>
      <c r="C1492" s="212"/>
      <c r="K1492" s="212"/>
      <c r="L1492" s="212"/>
      <c r="M1492" s="212"/>
      <c r="R1492" s="214"/>
      <c r="AB1492" s="215"/>
      <c r="AG1492" s="215"/>
      <c r="AJ1492" s="215"/>
    </row>
    <row r="1493" spans="1:36" s="213" customFormat="1" x14ac:dyDescent="0.25">
      <c r="A1493" s="212"/>
      <c r="C1493" s="212"/>
      <c r="K1493" s="212"/>
      <c r="L1493" s="212"/>
      <c r="M1493" s="212"/>
      <c r="R1493" s="214"/>
      <c r="AB1493" s="215"/>
      <c r="AG1493" s="215"/>
      <c r="AJ1493" s="215"/>
    </row>
    <row r="1494" spans="1:36" s="213" customFormat="1" x14ac:dyDescent="0.25">
      <c r="A1494" s="212"/>
      <c r="C1494" s="212"/>
      <c r="K1494" s="212"/>
      <c r="L1494" s="212"/>
      <c r="M1494" s="212"/>
      <c r="R1494" s="214"/>
      <c r="AB1494" s="215"/>
      <c r="AG1494" s="215"/>
      <c r="AJ1494" s="215"/>
    </row>
    <row r="1495" spans="1:36" s="213" customFormat="1" x14ac:dyDescent="0.25">
      <c r="A1495" s="212"/>
      <c r="C1495" s="212"/>
      <c r="K1495" s="212"/>
      <c r="L1495" s="212"/>
      <c r="M1495" s="212"/>
      <c r="R1495" s="214"/>
      <c r="AB1495" s="215"/>
      <c r="AG1495" s="215"/>
      <c r="AJ1495" s="215"/>
    </row>
    <row r="1496" spans="1:36" s="213" customFormat="1" x14ac:dyDescent="0.25">
      <c r="A1496" s="212"/>
      <c r="C1496" s="212"/>
      <c r="K1496" s="212"/>
      <c r="L1496" s="212"/>
      <c r="M1496" s="212"/>
      <c r="R1496" s="214"/>
      <c r="AB1496" s="215"/>
      <c r="AG1496" s="215"/>
      <c r="AJ1496" s="215"/>
    </row>
  </sheetData>
  <autoFilter ref="A4:AJ40" xr:uid="{00000000-0009-0000-0000-000007000000}"/>
  <mergeCells count="20">
    <mergeCell ref="O3:O4"/>
    <mergeCell ref="A3:A4"/>
    <mergeCell ref="B3:B4"/>
    <mergeCell ref="D3:D4"/>
    <mergeCell ref="C3:C4"/>
    <mergeCell ref="E3:E4"/>
    <mergeCell ref="F3:F4"/>
    <mergeCell ref="G3:G4"/>
    <mergeCell ref="H3:H4"/>
    <mergeCell ref="I3:I4"/>
    <mergeCell ref="J3:J4"/>
    <mergeCell ref="K3:N3"/>
    <mergeCell ref="AG3:AG4"/>
    <mergeCell ref="AH3:AI3"/>
    <mergeCell ref="AJ3:AJ4"/>
    <mergeCell ref="P3:P4"/>
    <mergeCell ref="Q3:AB3"/>
    <mergeCell ref="AC3:AC4"/>
    <mergeCell ref="AD3:AD4"/>
    <mergeCell ref="AE3:AF3"/>
  </mergeCells>
  <pageMargins left="0.31496062992125984" right="0.15748031496062992" top="0.47244094488188981" bottom="0.23622047244094491" header="0.23622047244094491" footer="7.874015748031496E-2"/>
  <pageSetup paperSize="9" scale="26" orientation="landscape" r:id="rId1"/>
  <headerFooter>
    <oddHeader>&amp;C&amp;"-,Negrito"Planilha de Composição de Custos</oddHeader>
    <oddFooter>Página &amp;P de &amp;N</oddFooter>
  </headerFooter>
  <ignoredErrors>
    <ignoredError sqref="D8 D18:D19 D25:D26 O34 G22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'Indicadores Financeiros'!$C$145:$C$208</xm:f>
          </x14:formula1>
          <xm:sqref>B1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34998626667073579"/>
  </sheetPr>
  <dimension ref="A1:E322"/>
  <sheetViews>
    <sheetView showGridLines="0" workbookViewId="0">
      <selection activeCell="D31" sqref="D31"/>
    </sheetView>
  </sheetViews>
  <sheetFormatPr defaultRowHeight="15" x14ac:dyDescent="0.25"/>
  <cols>
    <col min="1" max="1" width="9.5703125" style="254" customWidth="1"/>
    <col min="2" max="2" width="23.28515625" bestFit="1" customWidth="1"/>
    <col min="3" max="3" width="7.5703125" customWidth="1"/>
    <col min="4" max="4" width="9.5703125" customWidth="1"/>
    <col min="5" max="5" width="36.28515625" bestFit="1" customWidth="1"/>
  </cols>
  <sheetData>
    <row r="1" spans="1:5" x14ac:dyDescent="0.25">
      <c r="A1" s="254" t="s">
        <v>346</v>
      </c>
      <c r="B1" t="s">
        <v>240</v>
      </c>
      <c r="C1" t="s">
        <v>347</v>
      </c>
      <c r="D1" t="s">
        <v>175</v>
      </c>
      <c r="E1" t="s">
        <v>348</v>
      </c>
    </row>
    <row r="2" spans="1:5" x14ac:dyDescent="0.25">
      <c r="A2" s="254" t="s">
        <v>349</v>
      </c>
      <c r="B2" t="s">
        <v>350</v>
      </c>
      <c r="C2" s="255">
        <v>0.05</v>
      </c>
      <c r="D2" s="255">
        <f>ROUND((1+'Indicadores Financeiros'!$F$9)*(1+'Indicadores Financeiros'!$F$10)/(1-'Indicadores Financeiros'!$F$12-'Indicadores Financeiros'!$F$11-Tabela3[[#This Row],[ISS]])-1,4)</f>
        <v>0.32279999999999998</v>
      </c>
    </row>
    <row r="3" spans="1:5" x14ac:dyDescent="0.25">
      <c r="A3" s="254" t="s">
        <v>351</v>
      </c>
      <c r="B3" t="s">
        <v>352</v>
      </c>
      <c r="C3" s="255">
        <v>0.03</v>
      </c>
      <c r="D3" s="255">
        <f>ROUND((1+'Indicadores Financeiros'!$F$9)*(1+'Indicadores Financeiros'!$F$10)/(1-'Indicadores Financeiros'!$F$12-'Indicadores Financeiros'!$F$11-Tabela3[[#This Row],[ISS]])-1,4)</f>
        <v>0.29260000000000003</v>
      </c>
    </row>
    <row r="4" spans="1:5" x14ac:dyDescent="0.25">
      <c r="A4" s="254" t="s">
        <v>351</v>
      </c>
      <c r="B4" t="s">
        <v>353</v>
      </c>
      <c r="C4" s="255">
        <v>4.4999999999999998E-2</v>
      </c>
      <c r="D4" s="255">
        <f>ROUND((1+'Indicadores Financeiros'!$F$9)*(1+'Indicadores Financeiros'!$F$10)/(1-'Indicadores Financeiros'!$F$12-'Indicadores Financeiros'!$F$11-Tabela3[[#This Row],[ISS]])-1,4)</f>
        <v>0.31509999999999999</v>
      </c>
    </row>
    <row r="5" spans="1:5" x14ac:dyDescent="0.25">
      <c r="A5" s="254" t="s">
        <v>354</v>
      </c>
      <c r="B5" t="s">
        <v>355</v>
      </c>
      <c r="C5" s="255">
        <v>0.02</v>
      </c>
      <c r="D5" s="255">
        <f>ROUND((1+'Indicadores Financeiros'!$F$9)*(1+'Indicadores Financeiros'!$F$10)/(1-'Indicadores Financeiros'!$F$12-'Indicadores Financeiros'!$F$11-Tabela3[[#This Row],[ISS]])-1,4)</f>
        <v>0.27810000000000001</v>
      </c>
    </row>
    <row r="6" spans="1:5" x14ac:dyDescent="0.25">
      <c r="A6" s="254" t="s">
        <v>356</v>
      </c>
      <c r="B6" t="s">
        <v>357</v>
      </c>
      <c r="C6" s="255">
        <v>0.02</v>
      </c>
      <c r="D6" s="255">
        <f>ROUND((1+'Indicadores Financeiros'!$F$9)*(1+'Indicadores Financeiros'!$F$10)/(1-'Indicadores Financeiros'!$F$12-'Indicadores Financeiros'!$F$11-Tabela3[[#This Row],[ISS]])-1,4)</f>
        <v>0.27810000000000001</v>
      </c>
    </row>
    <row r="7" spans="1:5" x14ac:dyDescent="0.25">
      <c r="A7" s="254" t="s">
        <v>351</v>
      </c>
      <c r="B7" t="s">
        <v>358</v>
      </c>
      <c r="C7" s="255">
        <v>0.03</v>
      </c>
      <c r="D7" s="255">
        <f>ROUND((1+'Indicadores Financeiros'!$F$9)*(1+'Indicadores Financeiros'!$F$10)/(1-'Indicadores Financeiros'!$F$12-'Indicadores Financeiros'!$F$11-Tabela3[[#This Row],[ISS]])-1,4)</f>
        <v>0.29260000000000003</v>
      </c>
    </row>
    <row r="8" spans="1:5" x14ac:dyDescent="0.25">
      <c r="A8" s="254" t="s">
        <v>356</v>
      </c>
      <c r="B8" t="s">
        <v>359</v>
      </c>
      <c r="C8" s="255">
        <v>0.03</v>
      </c>
      <c r="D8" s="255">
        <f>ROUND((1+'Indicadores Financeiros'!$F$9)*(1+'Indicadores Financeiros'!$F$10)/(1-'Indicadores Financeiros'!$F$12-'Indicadores Financeiros'!$F$11-Tabela3[[#This Row],[ISS]])-1,4)</f>
        <v>0.29260000000000003</v>
      </c>
    </row>
    <row r="9" spans="1:5" x14ac:dyDescent="0.25">
      <c r="A9" s="254" t="s">
        <v>351</v>
      </c>
      <c r="B9" t="s">
        <v>360</v>
      </c>
      <c r="C9" s="255">
        <v>0.05</v>
      </c>
      <c r="D9" s="255">
        <f>ROUND((1+'Indicadores Financeiros'!$F$9)*(1+'Indicadores Financeiros'!$F$10)/(1-'Indicadores Financeiros'!$F$12-'Indicadores Financeiros'!$F$11-Tabela3[[#This Row],[ISS]])-1,4)</f>
        <v>0.32279999999999998</v>
      </c>
    </row>
    <row r="10" spans="1:5" x14ac:dyDescent="0.25">
      <c r="A10" s="254" t="s">
        <v>361</v>
      </c>
      <c r="B10" t="s">
        <v>362</v>
      </c>
      <c r="C10" s="255">
        <v>0.03</v>
      </c>
      <c r="D10" s="255">
        <f>ROUND((1+'Indicadores Financeiros'!$F$9)*(1+'Indicadores Financeiros'!$F$10)/(1-'Indicadores Financeiros'!$F$12-'Indicadores Financeiros'!$F$11-Tabela3[[#This Row],[ISS]])-1,4)</f>
        <v>0.29260000000000003</v>
      </c>
    </row>
    <row r="11" spans="1:5" x14ac:dyDescent="0.25">
      <c r="A11" s="254" t="s">
        <v>363</v>
      </c>
      <c r="B11" t="s">
        <v>364</v>
      </c>
      <c r="C11" s="255">
        <v>0.02</v>
      </c>
      <c r="D11" s="255">
        <f>ROUND((1+'Indicadores Financeiros'!$F$9)*(1+'Indicadores Financeiros'!$F$10)/(1-'Indicadores Financeiros'!$F$12-'Indicadores Financeiros'!$F$11-Tabela3[[#This Row],[ISS]])-1,4)</f>
        <v>0.27810000000000001</v>
      </c>
    </row>
    <row r="12" spans="1:5" x14ac:dyDescent="0.25">
      <c r="A12" s="254" t="s">
        <v>365</v>
      </c>
      <c r="B12" t="s">
        <v>366</v>
      </c>
      <c r="C12" s="255">
        <v>0.05</v>
      </c>
      <c r="D12" s="255">
        <f>ROUND((1+'Indicadores Financeiros'!$F$9)*(1+'Indicadores Financeiros'!$F$10)/(1-'Indicadores Financeiros'!$F$12-'Indicadores Financeiros'!$F$11-Tabela3[[#This Row],[ISS]])-1,4)</f>
        <v>0.32279999999999998</v>
      </c>
    </row>
    <row r="13" spans="1:5" x14ac:dyDescent="0.25">
      <c r="A13" s="254" t="s">
        <v>363</v>
      </c>
      <c r="B13" t="s">
        <v>367</v>
      </c>
      <c r="C13" s="255">
        <v>0.05</v>
      </c>
      <c r="D13" s="255">
        <f>ROUND((1+'Indicadores Financeiros'!$F$9)*(1+'Indicadores Financeiros'!$F$10)/(1-'Indicadores Financeiros'!$F$12-'Indicadores Financeiros'!$F$11-Tabela3[[#This Row],[ISS]])-1,4)</f>
        <v>0.32279999999999998</v>
      </c>
    </row>
    <row r="14" spans="1:5" x14ac:dyDescent="0.25">
      <c r="A14" s="254" t="s">
        <v>361</v>
      </c>
      <c r="B14" t="s">
        <v>368</v>
      </c>
      <c r="C14" s="255">
        <v>0.04</v>
      </c>
      <c r="D14" s="255">
        <f>ROUND((1+'Indicadores Financeiros'!$F$9)*(1+'Indicadores Financeiros'!$F$10)/(1-'Indicadores Financeiros'!$F$12-'Indicadores Financeiros'!$F$11-Tabela3[[#This Row],[ISS]])-1,4)</f>
        <v>0.3075</v>
      </c>
    </row>
    <row r="15" spans="1:5" x14ac:dyDescent="0.25">
      <c r="A15" s="254" t="s">
        <v>356</v>
      </c>
      <c r="B15" t="s">
        <v>369</v>
      </c>
      <c r="C15" s="255">
        <v>0.03</v>
      </c>
      <c r="D15" s="255">
        <f>ROUND((1+'Indicadores Financeiros'!$F$9)*(1+'Indicadores Financeiros'!$F$10)/(1-'Indicadores Financeiros'!$F$12-'Indicadores Financeiros'!$F$11-Tabela3[[#This Row],[ISS]])-1,4)</f>
        <v>0.29260000000000003</v>
      </c>
    </row>
    <row r="16" spans="1:5" x14ac:dyDescent="0.25">
      <c r="A16" s="254" t="s">
        <v>351</v>
      </c>
      <c r="B16" t="s">
        <v>370</v>
      </c>
      <c r="C16" s="255">
        <v>0.05</v>
      </c>
      <c r="D16" s="255">
        <f>ROUND((1+'Indicadores Financeiros'!$F$9)*(1+'Indicadores Financeiros'!$F$10)/(1-'Indicadores Financeiros'!$F$12-'Indicadores Financeiros'!$F$11-Tabela3[[#This Row],[ISS]])-1,4)</f>
        <v>0.32279999999999998</v>
      </c>
    </row>
    <row r="17" spans="1:4" x14ac:dyDescent="0.25">
      <c r="A17" s="254" t="s">
        <v>351</v>
      </c>
      <c r="B17" t="s">
        <v>371</v>
      </c>
      <c r="C17" s="255">
        <v>2.5000000000000001E-2</v>
      </c>
      <c r="D17" s="255">
        <f>ROUND((1+'Indicadores Financeiros'!$F$9)*(1+'Indicadores Financeiros'!$F$10)/(1-'Indicadores Financeiros'!$F$12-'Indicadores Financeiros'!$F$11-Tabela3[[#This Row],[ISS]])-1,4)</f>
        <v>0.2853</v>
      </c>
    </row>
    <row r="18" spans="1:4" x14ac:dyDescent="0.25">
      <c r="A18" s="254" t="s">
        <v>372</v>
      </c>
      <c r="B18" t="s">
        <v>373</v>
      </c>
      <c r="C18" s="255">
        <v>0.05</v>
      </c>
      <c r="D18" s="255">
        <f>ROUND((1+'Indicadores Financeiros'!$F$9)*(1+'Indicadores Financeiros'!$F$10)/(1-'Indicadores Financeiros'!$F$12-'Indicadores Financeiros'!$F$11-Tabela3[[#This Row],[ISS]])-1,4)</f>
        <v>0.32279999999999998</v>
      </c>
    </row>
    <row r="19" spans="1:4" x14ac:dyDescent="0.25">
      <c r="A19" s="254" t="s">
        <v>349</v>
      </c>
      <c r="B19" t="s">
        <v>374</v>
      </c>
      <c r="C19" s="255">
        <v>3.5000000000000003E-2</v>
      </c>
      <c r="D19" s="255">
        <f>ROUND((1+'Indicadores Financeiros'!$F$9)*(1+'Indicadores Financeiros'!$F$10)/(1-'Indicadores Financeiros'!$F$12-'Indicadores Financeiros'!$F$11-Tabela3[[#This Row],[ISS]])-1,4)</f>
        <v>0.3</v>
      </c>
    </row>
    <row r="20" spans="1:4" x14ac:dyDescent="0.25">
      <c r="A20" s="254" t="s">
        <v>351</v>
      </c>
      <c r="B20" t="s">
        <v>375</v>
      </c>
      <c r="C20" s="255">
        <v>0.02</v>
      </c>
      <c r="D20" s="255">
        <f>ROUND((1+'Indicadores Financeiros'!$F$9)*(1+'Indicadores Financeiros'!$F$10)/(1-'Indicadores Financeiros'!$F$12-'Indicadores Financeiros'!$F$11-Tabela3[[#This Row],[ISS]])-1,4)</f>
        <v>0.27810000000000001</v>
      </c>
    </row>
    <row r="21" spans="1:4" x14ac:dyDescent="0.25">
      <c r="A21" s="254" t="s">
        <v>361</v>
      </c>
      <c r="B21" t="s">
        <v>376</v>
      </c>
      <c r="C21" s="255">
        <v>0.04</v>
      </c>
      <c r="D21" s="255">
        <f>ROUND((1+'Indicadores Financeiros'!$F$9)*(1+'Indicadores Financeiros'!$F$10)/(1-'Indicadores Financeiros'!$F$12-'Indicadores Financeiros'!$F$11-Tabela3[[#This Row],[ISS]])-1,4)</f>
        <v>0.3075</v>
      </c>
    </row>
    <row r="22" spans="1:4" x14ac:dyDescent="0.25">
      <c r="A22" s="254" t="s">
        <v>354</v>
      </c>
      <c r="B22" t="s">
        <v>377</v>
      </c>
      <c r="C22" s="255">
        <v>0.03</v>
      </c>
      <c r="D22" s="255">
        <f>ROUND((1+'Indicadores Financeiros'!$F$9)*(1+'Indicadores Financeiros'!$F$10)/(1-'Indicadores Financeiros'!$F$12-'Indicadores Financeiros'!$F$11-Tabela3[[#This Row],[ISS]])-1,4)</f>
        <v>0.29260000000000003</v>
      </c>
    </row>
    <row r="23" spans="1:4" x14ac:dyDescent="0.25">
      <c r="A23" s="254" t="s">
        <v>365</v>
      </c>
      <c r="B23" s="83" t="s">
        <v>378</v>
      </c>
      <c r="C23" s="255">
        <v>0</v>
      </c>
      <c r="D23" s="255">
        <f>ROUND((1+'Indicadores Financeiros'!$F$9)*(1+'Indicadores Financeiros'!$F$10)/(1-'Indicadores Financeiros'!$F$12-'Indicadores Financeiros'!$F$11-Tabela3[[#This Row],[ISS]])-1,4)</f>
        <v>0.24990000000000001</v>
      </c>
    </row>
    <row r="24" spans="1:4" x14ac:dyDescent="0.25">
      <c r="A24" s="254" t="s">
        <v>354</v>
      </c>
      <c r="B24" t="s">
        <v>379</v>
      </c>
      <c r="C24" s="255">
        <v>0.04</v>
      </c>
      <c r="D24" s="255">
        <f>ROUND((1+'Indicadores Financeiros'!$F$9)*(1+'Indicadores Financeiros'!$F$10)/(1-'Indicadores Financeiros'!$F$12-'Indicadores Financeiros'!$F$11-Tabela3[[#This Row],[ISS]])-1,4)</f>
        <v>0.3075</v>
      </c>
    </row>
    <row r="25" spans="1:4" x14ac:dyDescent="0.25">
      <c r="A25" s="254" t="s">
        <v>354</v>
      </c>
      <c r="B25" t="s">
        <v>380</v>
      </c>
      <c r="C25" s="255">
        <v>0.02</v>
      </c>
      <c r="D25" s="255">
        <f>ROUND((1+'Indicadores Financeiros'!$F$9)*(1+'Indicadores Financeiros'!$F$10)/(1-'Indicadores Financeiros'!$F$12-'Indicadores Financeiros'!$F$11-Tabela3[[#This Row],[ISS]])-1,4)</f>
        <v>0.27810000000000001</v>
      </c>
    </row>
    <row r="26" spans="1:4" x14ac:dyDescent="0.25">
      <c r="A26" s="254" t="s">
        <v>381</v>
      </c>
      <c r="B26" t="s">
        <v>382</v>
      </c>
      <c r="C26" s="255">
        <v>0.03</v>
      </c>
      <c r="D26" s="255">
        <f>ROUND((1+'Indicadores Financeiros'!$F$9)*(1+'Indicadores Financeiros'!$F$10)/(1-'Indicadores Financeiros'!$F$12-'Indicadores Financeiros'!$F$11-Tabela3[[#This Row],[ISS]])-1,4)</f>
        <v>0.29260000000000003</v>
      </c>
    </row>
    <row r="27" spans="1:4" x14ac:dyDescent="0.25">
      <c r="A27" s="254" t="s">
        <v>372</v>
      </c>
      <c r="B27" t="s">
        <v>383</v>
      </c>
      <c r="C27" s="255">
        <v>0.02</v>
      </c>
      <c r="D27" s="255">
        <f>ROUND((1+'Indicadores Financeiros'!$F$9)*(1+'Indicadores Financeiros'!$F$10)/(1-'Indicadores Financeiros'!$F$12-'Indicadores Financeiros'!$F$11-Tabela3[[#This Row],[ISS]])-1,4)</f>
        <v>0.27810000000000001</v>
      </c>
    </row>
    <row r="28" spans="1:4" x14ac:dyDescent="0.25">
      <c r="A28" s="254" t="s">
        <v>349</v>
      </c>
      <c r="B28" t="s">
        <v>384</v>
      </c>
      <c r="C28" s="255">
        <v>0.03</v>
      </c>
      <c r="D28" s="255">
        <f>ROUND((1+'Indicadores Financeiros'!$F$9)*(1+'Indicadores Financeiros'!$F$10)/(1-'Indicadores Financeiros'!$F$12-'Indicadores Financeiros'!$F$11-Tabela3[[#This Row],[ISS]])-1,4)</f>
        <v>0.29260000000000003</v>
      </c>
    </row>
    <row r="29" spans="1:4" x14ac:dyDescent="0.25">
      <c r="A29" s="254" t="s">
        <v>356</v>
      </c>
      <c r="B29" t="s">
        <v>385</v>
      </c>
      <c r="C29" s="255">
        <v>0.03</v>
      </c>
      <c r="D29" s="255">
        <f>ROUND((1+'Indicadores Financeiros'!$F$9)*(1+'Indicadores Financeiros'!$F$10)/(1-'Indicadores Financeiros'!$F$12-'Indicadores Financeiros'!$F$11-Tabela3[[#This Row],[ISS]])-1,4)</f>
        <v>0.29260000000000003</v>
      </c>
    </row>
    <row r="30" spans="1:4" x14ac:dyDescent="0.25">
      <c r="A30" s="254" t="s">
        <v>354</v>
      </c>
      <c r="B30" t="s">
        <v>386</v>
      </c>
      <c r="C30" s="255">
        <v>0.02</v>
      </c>
      <c r="D30" s="255">
        <f>ROUND((1+'Indicadores Financeiros'!$F$9)*(1+'Indicadores Financeiros'!$F$10)/(1-'Indicadores Financeiros'!$F$12-'Indicadores Financeiros'!$F$11-Tabela3[[#This Row],[ISS]])-1,4)</f>
        <v>0.27810000000000001</v>
      </c>
    </row>
    <row r="31" spans="1:4" x14ac:dyDescent="0.25">
      <c r="A31" s="254" t="s">
        <v>381</v>
      </c>
      <c r="B31" t="s">
        <v>387</v>
      </c>
      <c r="C31" s="255">
        <v>0.03</v>
      </c>
      <c r="D31" s="255">
        <f>ROUND((1+'Indicadores Financeiros'!$F$9)*(1+'Indicadores Financeiros'!$F$10)/(1-'Indicadores Financeiros'!$F$12-'Indicadores Financeiros'!$F$11-Tabela3[[#This Row],[ISS]])-1,4)</f>
        <v>0.29260000000000003</v>
      </c>
    </row>
    <row r="32" spans="1:4" x14ac:dyDescent="0.25">
      <c r="A32" s="254" t="s">
        <v>388</v>
      </c>
      <c r="B32" t="s">
        <v>389</v>
      </c>
      <c r="C32" s="255">
        <v>0.02</v>
      </c>
      <c r="D32" s="255">
        <f>ROUND((1+'Indicadores Financeiros'!$F$9)*(1+'Indicadores Financeiros'!$F$10)/(1-'Indicadores Financeiros'!$F$12-'Indicadores Financeiros'!$F$11-Tabela3[[#This Row],[ISS]])-1,4)</f>
        <v>0.27810000000000001</v>
      </c>
    </row>
    <row r="33" spans="1:4" x14ac:dyDescent="0.25">
      <c r="A33" s="254" t="s">
        <v>361</v>
      </c>
      <c r="B33" t="s">
        <v>390</v>
      </c>
      <c r="C33" s="255">
        <v>0.05</v>
      </c>
      <c r="D33" s="255">
        <f>ROUND((1+'Indicadores Financeiros'!$F$9)*(1+'Indicadores Financeiros'!$F$10)/(1-'Indicadores Financeiros'!$F$12-'Indicadores Financeiros'!$F$11-Tabela3[[#This Row],[ISS]])-1,4)</f>
        <v>0.32279999999999998</v>
      </c>
    </row>
    <row r="34" spans="1:4" x14ac:dyDescent="0.25">
      <c r="A34" s="254" t="s">
        <v>361</v>
      </c>
      <c r="B34" t="s">
        <v>391</v>
      </c>
      <c r="C34" s="255">
        <v>0.04</v>
      </c>
      <c r="D34" s="255">
        <f>ROUND((1+'Indicadores Financeiros'!$F$9)*(1+'Indicadores Financeiros'!$F$10)/(1-'Indicadores Financeiros'!$F$12-'Indicadores Financeiros'!$F$11-Tabela3[[#This Row],[ISS]])-1,4)</f>
        <v>0.3075</v>
      </c>
    </row>
    <row r="35" spans="1:4" x14ac:dyDescent="0.25">
      <c r="A35" s="254" t="s">
        <v>363</v>
      </c>
      <c r="B35" t="s">
        <v>392</v>
      </c>
      <c r="C35" s="255">
        <v>0.02</v>
      </c>
      <c r="D35" s="255">
        <f>ROUND((1+'Indicadores Financeiros'!$F$9)*(1+'Indicadores Financeiros'!$F$10)/(1-'Indicadores Financeiros'!$F$12-'Indicadores Financeiros'!$F$11-Tabela3[[#This Row],[ISS]])-1,4)</f>
        <v>0.27810000000000001</v>
      </c>
    </row>
    <row r="36" spans="1:4" x14ac:dyDescent="0.25">
      <c r="A36" s="254" t="s">
        <v>356</v>
      </c>
      <c r="B36" t="s">
        <v>393</v>
      </c>
      <c r="C36" s="255">
        <v>0.05</v>
      </c>
      <c r="D36" s="255">
        <f>ROUND((1+'Indicadores Financeiros'!$F$9)*(1+'Indicadores Financeiros'!$F$10)/(1-'Indicadores Financeiros'!$F$12-'Indicadores Financeiros'!$F$11-Tabela3[[#This Row],[ISS]])-1,4)</f>
        <v>0.32279999999999998</v>
      </c>
    </row>
    <row r="37" spans="1:4" x14ac:dyDescent="0.25">
      <c r="A37" s="254" t="s">
        <v>354</v>
      </c>
      <c r="B37" t="s">
        <v>394</v>
      </c>
      <c r="C37" s="255">
        <v>0.02</v>
      </c>
      <c r="D37" s="255">
        <f>ROUND((1+'Indicadores Financeiros'!$F$9)*(1+'Indicadores Financeiros'!$F$10)/(1-'Indicadores Financeiros'!$F$12-'Indicadores Financeiros'!$F$11-Tabela3[[#This Row],[ISS]])-1,4)</f>
        <v>0.27810000000000001</v>
      </c>
    </row>
    <row r="38" spans="1:4" x14ac:dyDescent="0.25">
      <c r="A38" s="254" t="s">
        <v>351</v>
      </c>
      <c r="B38" t="s">
        <v>395</v>
      </c>
      <c r="C38" s="255">
        <v>0.03</v>
      </c>
      <c r="D38" s="255">
        <f>ROUND((1+'Indicadores Financeiros'!$F$9)*(1+'Indicadores Financeiros'!$F$10)/(1-'Indicadores Financeiros'!$F$12-'Indicadores Financeiros'!$F$11-Tabela3[[#This Row],[ISS]])-1,4)</f>
        <v>0.29260000000000003</v>
      </c>
    </row>
    <row r="39" spans="1:4" x14ac:dyDescent="0.25">
      <c r="A39" s="254" t="s">
        <v>356</v>
      </c>
      <c r="B39" t="s">
        <v>396</v>
      </c>
      <c r="C39" s="255">
        <v>0.02</v>
      </c>
      <c r="D39" s="255">
        <f>ROUND((1+'Indicadores Financeiros'!$F$9)*(1+'Indicadores Financeiros'!$F$10)/(1-'Indicadores Financeiros'!$F$12-'Indicadores Financeiros'!$F$11-Tabela3[[#This Row],[ISS]])-1,4)</f>
        <v>0.27810000000000001</v>
      </c>
    </row>
    <row r="40" spans="1:4" x14ac:dyDescent="0.25">
      <c r="A40" s="254" t="s">
        <v>351</v>
      </c>
      <c r="B40" t="s">
        <v>397</v>
      </c>
      <c r="C40" s="255">
        <v>0.05</v>
      </c>
      <c r="D40" s="255">
        <f>ROUND((1+'Indicadores Financeiros'!$F$9)*(1+'Indicadores Financeiros'!$F$10)/(1-'Indicadores Financeiros'!$F$12-'Indicadores Financeiros'!$F$11-Tabela3[[#This Row],[ISS]])-1,4)</f>
        <v>0.32279999999999998</v>
      </c>
    </row>
    <row r="41" spans="1:4" x14ac:dyDescent="0.25">
      <c r="A41" s="254" t="s">
        <v>363</v>
      </c>
      <c r="B41" t="s">
        <v>398</v>
      </c>
      <c r="C41" s="255">
        <v>0.05</v>
      </c>
      <c r="D41" s="255">
        <f>ROUND((1+'Indicadores Financeiros'!$F$9)*(1+'Indicadores Financeiros'!$F$10)/(1-'Indicadores Financeiros'!$F$12-'Indicadores Financeiros'!$F$11-Tabela3[[#This Row],[ISS]])-1,4)</f>
        <v>0.32279999999999998</v>
      </c>
    </row>
    <row r="42" spans="1:4" x14ac:dyDescent="0.25">
      <c r="A42" s="254" t="s">
        <v>361</v>
      </c>
      <c r="B42" t="s">
        <v>399</v>
      </c>
      <c r="C42" s="255">
        <v>0.02</v>
      </c>
      <c r="D42" s="255">
        <f>ROUND((1+'Indicadores Financeiros'!$F$9)*(1+'Indicadores Financeiros'!$F$10)/(1-'Indicadores Financeiros'!$F$12-'Indicadores Financeiros'!$F$11-Tabela3[[#This Row],[ISS]])-1,4)</f>
        <v>0.27810000000000001</v>
      </c>
    </row>
    <row r="43" spans="1:4" x14ac:dyDescent="0.25">
      <c r="A43" s="254" t="s">
        <v>363</v>
      </c>
      <c r="B43" t="s">
        <v>400</v>
      </c>
      <c r="C43" s="255">
        <v>0.05</v>
      </c>
      <c r="D43" s="255">
        <f>ROUND((1+'Indicadores Financeiros'!$F$9)*(1+'Indicadores Financeiros'!$F$10)/(1-'Indicadores Financeiros'!$F$12-'Indicadores Financeiros'!$F$11-Tabela3[[#This Row],[ISS]])-1,4)</f>
        <v>0.32279999999999998</v>
      </c>
    </row>
    <row r="44" spans="1:4" x14ac:dyDescent="0.25">
      <c r="A44" s="254" t="s">
        <v>365</v>
      </c>
      <c r="B44" t="s">
        <v>401</v>
      </c>
      <c r="C44" s="255">
        <v>0.05</v>
      </c>
      <c r="D44" s="255">
        <f>ROUND((1+'Indicadores Financeiros'!$F$9)*(1+'Indicadores Financeiros'!$F$10)/(1-'Indicadores Financeiros'!$F$12-'Indicadores Financeiros'!$F$11-Tabela3[[#This Row],[ISS]])-1,4)</f>
        <v>0.32279999999999998</v>
      </c>
    </row>
    <row r="45" spans="1:4" x14ac:dyDescent="0.25">
      <c r="A45" s="254" t="s">
        <v>365</v>
      </c>
      <c r="B45" t="s">
        <v>402</v>
      </c>
      <c r="C45" s="255">
        <v>0.05</v>
      </c>
      <c r="D45" s="255">
        <f>ROUND((1+'Indicadores Financeiros'!$F$9)*(1+'Indicadores Financeiros'!$F$10)/(1-'Indicadores Financeiros'!$F$12-'Indicadores Financeiros'!$F$11-Tabela3[[#This Row],[ISS]])-1,4)</f>
        <v>0.32279999999999998</v>
      </c>
    </row>
    <row r="46" spans="1:4" x14ac:dyDescent="0.25">
      <c r="A46" s="254" t="s">
        <v>356</v>
      </c>
      <c r="B46" t="s">
        <v>403</v>
      </c>
      <c r="C46" s="255">
        <v>0.02</v>
      </c>
      <c r="D46" s="255">
        <f>ROUND((1+'Indicadores Financeiros'!$F$9)*(1+'Indicadores Financeiros'!$F$10)/(1-'Indicadores Financeiros'!$F$12-'Indicadores Financeiros'!$F$11-Tabela3[[#This Row],[ISS]])-1,4)</f>
        <v>0.27810000000000001</v>
      </c>
    </row>
    <row r="47" spans="1:4" x14ac:dyDescent="0.25">
      <c r="A47" s="254" t="s">
        <v>361</v>
      </c>
      <c r="B47" t="s">
        <v>404</v>
      </c>
      <c r="C47" s="255">
        <v>0.05</v>
      </c>
      <c r="D47" s="255">
        <f>ROUND((1+'Indicadores Financeiros'!$F$9)*(1+'Indicadores Financeiros'!$F$10)/(1-'Indicadores Financeiros'!$F$12-'Indicadores Financeiros'!$F$11-Tabela3[[#This Row],[ISS]])-1,4)</f>
        <v>0.32279999999999998</v>
      </c>
    </row>
    <row r="48" spans="1:4" x14ac:dyDescent="0.25">
      <c r="A48" s="254" t="s">
        <v>351</v>
      </c>
      <c r="B48" t="s">
        <v>405</v>
      </c>
      <c r="C48" s="255">
        <v>0.05</v>
      </c>
      <c r="D48" s="255">
        <f>ROUND((1+'Indicadores Financeiros'!$F$9)*(1+'Indicadores Financeiros'!$F$10)/(1-'Indicadores Financeiros'!$F$12-'Indicadores Financeiros'!$F$11-Tabela3[[#This Row],[ISS]])-1,4)</f>
        <v>0.32279999999999998</v>
      </c>
    </row>
    <row r="49" spans="1:4" x14ac:dyDescent="0.25">
      <c r="A49" s="254" t="s">
        <v>351</v>
      </c>
      <c r="B49" t="s">
        <v>406</v>
      </c>
      <c r="C49" s="255">
        <v>0.04</v>
      </c>
      <c r="D49" s="255">
        <f>ROUND((1+'Indicadores Financeiros'!$F$9)*(1+'Indicadores Financeiros'!$F$10)/(1-'Indicadores Financeiros'!$F$12-'Indicadores Financeiros'!$F$11-Tabela3[[#This Row],[ISS]])-1,4)</f>
        <v>0.3075</v>
      </c>
    </row>
    <row r="50" spans="1:4" x14ac:dyDescent="0.25">
      <c r="A50" s="254" t="s">
        <v>356</v>
      </c>
      <c r="B50" t="s">
        <v>407</v>
      </c>
      <c r="C50" s="255">
        <v>0.02</v>
      </c>
      <c r="D50" s="255">
        <f>ROUND((1+'Indicadores Financeiros'!$F$9)*(1+'Indicadores Financeiros'!$F$10)/(1-'Indicadores Financeiros'!$F$12-'Indicadores Financeiros'!$F$11-Tabela3[[#This Row],[ISS]])-1,4)</f>
        <v>0.27810000000000001</v>
      </c>
    </row>
    <row r="51" spans="1:4" x14ac:dyDescent="0.25">
      <c r="A51" s="254" t="s">
        <v>351</v>
      </c>
      <c r="B51" t="s">
        <v>408</v>
      </c>
      <c r="C51" s="255">
        <v>0.05</v>
      </c>
      <c r="D51" s="255">
        <f>ROUND((1+'Indicadores Financeiros'!$F$9)*(1+'Indicadores Financeiros'!$F$10)/(1-'Indicadores Financeiros'!$F$12-'Indicadores Financeiros'!$F$11-Tabela3[[#This Row],[ISS]])-1,4)</f>
        <v>0.32279999999999998</v>
      </c>
    </row>
    <row r="52" spans="1:4" x14ac:dyDescent="0.25">
      <c r="A52" s="254" t="s">
        <v>351</v>
      </c>
      <c r="B52" t="s">
        <v>409</v>
      </c>
      <c r="C52" s="255">
        <v>0.02</v>
      </c>
      <c r="D52" s="255">
        <f>ROUND((1+'Indicadores Financeiros'!$F$9)*(1+'Indicadores Financeiros'!$F$10)/(1-'Indicadores Financeiros'!$F$12-'Indicadores Financeiros'!$F$11-Tabela3[[#This Row],[ISS]])-1,4)</f>
        <v>0.27810000000000001</v>
      </c>
    </row>
    <row r="53" spans="1:4" x14ac:dyDescent="0.25">
      <c r="A53" s="254" t="s">
        <v>365</v>
      </c>
      <c r="B53" t="s">
        <v>410</v>
      </c>
      <c r="C53" s="255">
        <v>0.05</v>
      </c>
      <c r="D53" s="255">
        <f>ROUND((1+'Indicadores Financeiros'!$F$9)*(1+'Indicadores Financeiros'!$F$10)/(1-'Indicadores Financeiros'!$F$12-'Indicadores Financeiros'!$F$11-Tabela3[[#This Row],[ISS]])-1,4)</f>
        <v>0.32279999999999998</v>
      </c>
    </row>
    <row r="54" spans="1:4" x14ac:dyDescent="0.25">
      <c r="A54" s="254" t="s">
        <v>388</v>
      </c>
      <c r="B54" t="s">
        <v>411</v>
      </c>
      <c r="C54" s="255">
        <v>0.05</v>
      </c>
      <c r="D54" s="255">
        <f>ROUND((1+'Indicadores Financeiros'!$F$9)*(1+'Indicadores Financeiros'!$F$10)/(1-'Indicadores Financeiros'!$F$12-'Indicadores Financeiros'!$F$11-Tabela3[[#This Row],[ISS]])-1,4)</f>
        <v>0.32279999999999998</v>
      </c>
    </row>
    <row r="55" spans="1:4" x14ac:dyDescent="0.25">
      <c r="A55" s="254" t="s">
        <v>349</v>
      </c>
      <c r="B55" t="s">
        <v>412</v>
      </c>
      <c r="C55" s="255">
        <v>0.04</v>
      </c>
      <c r="D55" s="255">
        <f>ROUND((1+'Indicadores Financeiros'!$F$9)*(1+'Indicadores Financeiros'!$F$10)/(1-'Indicadores Financeiros'!$F$12-'Indicadores Financeiros'!$F$11-Tabela3[[#This Row],[ISS]])-1,4)</f>
        <v>0.3075</v>
      </c>
    </row>
    <row r="56" spans="1:4" x14ac:dyDescent="0.25">
      <c r="A56" s="254" t="s">
        <v>363</v>
      </c>
      <c r="B56" t="s">
        <v>413</v>
      </c>
      <c r="C56" s="255">
        <v>0.05</v>
      </c>
      <c r="D56" s="255">
        <f>ROUND((1+'Indicadores Financeiros'!$F$9)*(1+'Indicadores Financeiros'!$F$10)/(1-'Indicadores Financeiros'!$F$12-'Indicadores Financeiros'!$F$11-Tabela3[[#This Row],[ISS]])-1,4)</f>
        <v>0.32279999999999998</v>
      </c>
    </row>
    <row r="57" spans="1:4" x14ac:dyDescent="0.25">
      <c r="A57" s="254" t="s">
        <v>351</v>
      </c>
      <c r="B57" t="s">
        <v>414</v>
      </c>
      <c r="C57" s="255">
        <v>0.05</v>
      </c>
      <c r="D57" s="255">
        <f>ROUND((1+'Indicadores Financeiros'!$F$9)*(1+'Indicadores Financeiros'!$F$10)/(1-'Indicadores Financeiros'!$F$12-'Indicadores Financeiros'!$F$11-Tabela3[[#This Row],[ISS]])-1,4)</f>
        <v>0.32279999999999998</v>
      </c>
    </row>
    <row r="58" spans="1:4" x14ac:dyDescent="0.25">
      <c r="A58" s="254" t="s">
        <v>365</v>
      </c>
      <c r="B58" t="s">
        <v>415</v>
      </c>
      <c r="C58" s="255">
        <v>0.04</v>
      </c>
      <c r="D58" s="255">
        <f>ROUND((1+'Indicadores Financeiros'!$F$9)*(1+'Indicadores Financeiros'!$F$10)/(1-'Indicadores Financeiros'!$F$12-'Indicadores Financeiros'!$F$11-Tabela3[[#This Row],[ISS]])-1,4)</f>
        <v>0.3075</v>
      </c>
    </row>
    <row r="59" spans="1:4" x14ac:dyDescent="0.25">
      <c r="A59" s="254" t="s">
        <v>372</v>
      </c>
      <c r="B59" t="s">
        <v>416</v>
      </c>
      <c r="C59" s="255">
        <v>0.05</v>
      </c>
      <c r="D59" s="255">
        <f>ROUND((1+'Indicadores Financeiros'!$F$9)*(1+'Indicadores Financeiros'!$F$10)/(1-'Indicadores Financeiros'!$F$12-'Indicadores Financeiros'!$F$11-Tabela3[[#This Row],[ISS]])-1,4)</f>
        <v>0.32279999999999998</v>
      </c>
    </row>
    <row r="60" spans="1:4" x14ac:dyDescent="0.25">
      <c r="A60" s="254" t="s">
        <v>381</v>
      </c>
      <c r="B60" t="s">
        <v>417</v>
      </c>
      <c r="C60" s="255">
        <v>0.04</v>
      </c>
      <c r="D60" s="255">
        <f>ROUND((1+'Indicadores Financeiros'!$F$9)*(1+'Indicadores Financeiros'!$F$10)/(1-'Indicadores Financeiros'!$F$12-'Indicadores Financeiros'!$F$11-Tabela3[[#This Row],[ISS]])-1,4)</f>
        <v>0.3075</v>
      </c>
    </row>
    <row r="61" spans="1:4" x14ac:dyDescent="0.25">
      <c r="A61" s="254" t="s">
        <v>356</v>
      </c>
      <c r="B61" t="s">
        <v>418</v>
      </c>
      <c r="C61" s="255">
        <v>0.05</v>
      </c>
      <c r="D61" s="255">
        <f>ROUND((1+'Indicadores Financeiros'!$F$9)*(1+'Indicadores Financeiros'!$F$10)/(1-'Indicadores Financeiros'!$F$12-'Indicadores Financeiros'!$F$11-Tabela3[[#This Row],[ISS]])-1,4)</f>
        <v>0.32279999999999998</v>
      </c>
    </row>
    <row r="62" spans="1:4" x14ac:dyDescent="0.25">
      <c r="A62" s="254" t="s">
        <v>381</v>
      </c>
      <c r="B62" t="s">
        <v>419</v>
      </c>
      <c r="C62" s="255">
        <v>0.02</v>
      </c>
      <c r="D62" s="255">
        <f>ROUND((1+'Indicadores Financeiros'!$F$9)*(1+'Indicadores Financeiros'!$F$10)/(1-'Indicadores Financeiros'!$F$12-'Indicadores Financeiros'!$F$11-Tabela3[[#This Row],[ISS]])-1,4)</f>
        <v>0.27810000000000001</v>
      </c>
    </row>
    <row r="63" spans="1:4" x14ac:dyDescent="0.25">
      <c r="A63" s="254" t="s">
        <v>354</v>
      </c>
      <c r="B63" t="s">
        <v>420</v>
      </c>
      <c r="C63" s="255">
        <v>0.05</v>
      </c>
      <c r="D63" s="255">
        <f>ROUND((1+'Indicadores Financeiros'!$F$9)*(1+'Indicadores Financeiros'!$F$10)/(1-'Indicadores Financeiros'!$F$12-'Indicadores Financeiros'!$F$11-Tabela3[[#This Row],[ISS]])-1,4)</f>
        <v>0.32279999999999998</v>
      </c>
    </row>
    <row r="64" spans="1:4" x14ac:dyDescent="0.25">
      <c r="A64" s="254" t="s">
        <v>351</v>
      </c>
      <c r="B64" t="s">
        <v>421</v>
      </c>
      <c r="C64" s="255">
        <v>0.02</v>
      </c>
      <c r="D64" s="255">
        <f>ROUND((1+'Indicadores Financeiros'!$F$9)*(1+'Indicadores Financeiros'!$F$10)/(1-'Indicadores Financeiros'!$F$12-'Indicadores Financeiros'!$F$11-Tabela3[[#This Row],[ISS]])-1,4)</f>
        <v>0.27810000000000001</v>
      </c>
    </row>
    <row r="65" spans="1:5" x14ac:dyDescent="0.25">
      <c r="A65" s="254" t="s">
        <v>363</v>
      </c>
      <c r="B65" t="s">
        <v>422</v>
      </c>
      <c r="C65" s="255">
        <v>0.02</v>
      </c>
      <c r="D65" s="255">
        <f>ROUND((1+'Indicadores Financeiros'!$F$9)*(1+'Indicadores Financeiros'!$F$10)/(1-'Indicadores Financeiros'!$F$12-'Indicadores Financeiros'!$F$11-Tabela3[[#This Row],[ISS]])-1,4)</f>
        <v>0.27810000000000001</v>
      </c>
      <c r="E65" t="s">
        <v>423</v>
      </c>
    </row>
    <row r="66" spans="1:5" x14ac:dyDescent="0.25">
      <c r="A66" s="254" t="s">
        <v>354</v>
      </c>
      <c r="B66" t="s">
        <v>424</v>
      </c>
      <c r="C66" s="255">
        <v>0.03</v>
      </c>
      <c r="D66" s="255">
        <f>ROUND((1+'Indicadores Financeiros'!$F$9)*(1+'Indicadores Financeiros'!$F$10)/(1-'Indicadores Financeiros'!$F$12-'Indicadores Financeiros'!$F$11-Tabela3[[#This Row],[ISS]])-1,4)</f>
        <v>0.29260000000000003</v>
      </c>
    </row>
    <row r="67" spans="1:5" x14ac:dyDescent="0.25">
      <c r="A67" s="254" t="s">
        <v>381</v>
      </c>
      <c r="B67" t="s">
        <v>425</v>
      </c>
      <c r="C67" s="255">
        <v>0.02</v>
      </c>
      <c r="D67" s="255">
        <f>ROUND((1+'Indicadores Financeiros'!$F$9)*(1+'Indicadores Financeiros'!$F$10)/(1-'Indicadores Financeiros'!$F$12-'Indicadores Financeiros'!$F$11-Tabela3[[#This Row],[ISS]])-1,4)</f>
        <v>0.27810000000000001</v>
      </c>
    </row>
    <row r="68" spans="1:5" x14ac:dyDescent="0.25">
      <c r="A68" s="254" t="s">
        <v>351</v>
      </c>
      <c r="B68" t="s">
        <v>426</v>
      </c>
      <c r="C68" s="255">
        <v>0.05</v>
      </c>
      <c r="D68" s="255">
        <f>ROUND((1+'Indicadores Financeiros'!$F$9)*(1+'Indicadores Financeiros'!$F$10)/(1-'Indicadores Financeiros'!$F$12-'Indicadores Financeiros'!$F$11-Tabela3[[#This Row],[ISS]])-1,4)</f>
        <v>0.32279999999999998</v>
      </c>
    </row>
    <row r="69" spans="1:5" x14ac:dyDescent="0.25">
      <c r="A69" s="254" t="s">
        <v>354</v>
      </c>
      <c r="B69" t="s">
        <v>427</v>
      </c>
      <c r="C69" s="255">
        <v>0.05</v>
      </c>
      <c r="D69" s="255">
        <f>ROUND((1+'Indicadores Financeiros'!$F$9)*(1+'Indicadores Financeiros'!$F$10)/(1-'Indicadores Financeiros'!$F$12-'Indicadores Financeiros'!$F$11-Tabela3[[#This Row],[ISS]])-1,4)</f>
        <v>0.32279999999999998</v>
      </c>
    </row>
    <row r="70" spans="1:5" x14ac:dyDescent="0.25">
      <c r="A70" s="254" t="s">
        <v>351</v>
      </c>
      <c r="B70" t="s">
        <v>428</v>
      </c>
      <c r="C70" s="255">
        <v>0.05</v>
      </c>
      <c r="D70" s="255">
        <f>ROUND((1+'Indicadores Financeiros'!$F$9)*(1+'Indicadores Financeiros'!$F$10)/(1-'Indicadores Financeiros'!$F$12-'Indicadores Financeiros'!$F$11-Tabela3[[#This Row],[ISS]])-1,4)</f>
        <v>0.32279999999999998</v>
      </c>
    </row>
    <row r="71" spans="1:5" x14ac:dyDescent="0.25">
      <c r="A71" s="254" t="s">
        <v>351</v>
      </c>
      <c r="B71" t="s">
        <v>429</v>
      </c>
      <c r="C71" s="255">
        <v>0.03</v>
      </c>
      <c r="D71" s="255">
        <f>ROUND((1+'Indicadores Financeiros'!$F$9)*(1+'Indicadores Financeiros'!$F$10)/(1-'Indicadores Financeiros'!$F$12-'Indicadores Financeiros'!$F$11-Tabela3[[#This Row],[ISS]])-1,4)</f>
        <v>0.29260000000000003</v>
      </c>
    </row>
    <row r="72" spans="1:5" x14ac:dyDescent="0.25">
      <c r="A72" s="254" t="s">
        <v>372</v>
      </c>
      <c r="B72" t="s">
        <v>430</v>
      </c>
      <c r="C72" s="255">
        <v>0.05</v>
      </c>
      <c r="D72" s="255">
        <f>ROUND((1+'Indicadores Financeiros'!$F$9)*(1+'Indicadores Financeiros'!$F$10)/(1-'Indicadores Financeiros'!$F$12-'Indicadores Financeiros'!$F$11-Tabela3[[#This Row],[ISS]])-1,4)</f>
        <v>0.32279999999999998</v>
      </c>
    </row>
    <row r="73" spans="1:5" x14ac:dyDescent="0.25">
      <c r="A73" s="254" t="s">
        <v>356</v>
      </c>
      <c r="B73" t="s">
        <v>431</v>
      </c>
      <c r="C73" s="255">
        <v>0.02</v>
      </c>
      <c r="D73" s="255">
        <f>ROUND((1+'Indicadores Financeiros'!$F$9)*(1+'Indicadores Financeiros'!$F$10)/(1-'Indicadores Financeiros'!$F$12-'Indicadores Financeiros'!$F$11-Tabela3[[#This Row],[ISS]])-1,4)</f>
        <v>0.27810000000000001</v>
      </c>
    </row>
    <row r="74" spans="1:5" x14ac:dyDescent="0.25">
      <c r="A74" s="254" t="s">
        <v>365</v>
      </c>
      <c r="B74" t="s">
        <v>432</v>
      </c>
      <c r="C74" s="255">
        <v>0.05</v>
      </c>
      <c r="D74" s="255">
        <f>ROUND((1+'Indicadores Financeiros'!$F$9)*(1+'Indicadores Financeiros'!$F$10)/(1-'Indicadores Financeiros'!$F$12-'Indicadores Financeiros'!$F$11-Tabela3[[#This Row],[ISS]])-1,4)</f>
        <v>0.32279999999999998</v>
      </c>
    </row>
    <row r="75" spans="1:5" x14ac:dyDescent="0.25">
      <c r="A75" s="254" t="s">
        <v>388</v>
      </c>
      <c r="B75" t="s">
        <v>433</v>
      </c>
      <c r="C75" s="255">
        <v>0.05</v>
      </c>
      <c r="D75" s="255">
        <f>ROUND((1+'Indicadores Financeiros'!$F$9)*(1+'Indicadores Financeiros'!$F$10)/(1-'Indicadores Financeiros'!$F$12-'Indicadores Financeiros'!$F$11-Tabela3[[#This Row],[ISS]])-1,4)</f>
        <v>0.32279999999999998</v>
      </c>
    </row>
    <row r="76" spans="1:5" x14ac:dyDescent="0.25">
      <c r="A76" s="254" t="s">
        <v>365</v>
      </c>
      <c r="B76" t="s">
        <v>434</v>
      </c>
      <c r="C76" s="255">
        <v>0.03</v>
      </c>
      <c r="D76" s="255">
        <f>ROUND((1+'Indicadores Financeiros'!$F$9)*(1+'Indicadores Financeiros'!$F$10)/(1-'Indicadores Financeiros'!$F$12-'Indicadores Financeiros'!$F$11-Tabela3[[#This Row],[ISS]])-1,4)</f>
        <v>0.29260000000000003</v>
      </c>
    </row>
    <row r="77" spans="1:5" x14ac:dyDescent="0.25">
      <c r="A77" s="254" t="s">
        <v>356</v>
      </c>
      <c r="B77" t="s">
        <v>435</v>
      </c>
      <c r="C77" s="255">
        <v>0.02</v>
      </c>
      <c r="D77" s="255">
        <f>ROUND((1+'Indicadores Financeiros'!$F$9)*(1+'Indicadores Financeiros'!$F$10)/(1-'Indicadores Financeiros'!$F$12-'Indicadores Financeiros'!$F$11-Tabela3[[#This Row],[ISS]])-1,4)</f>
        <v>0.27810000000000001</v>
      </c>
    </row>
    <row r="78" spans="1:5" x14ac:dyDescent="0.25">
      <c r="A78" s="254" t="s">
        <v>372</v>
      </c>
      <c r="B78" t="s">
        <v>436</v>
      </c>
      <c r="C78" s="255">
        <v>0.05</v>
      </c>
      <c r="D78" s="255">
        <f>ROUND((1+'Indicadores Financeiros'!$F$9)*(1+'Indicadores Financeiros'!$F$10)/(1-'Indicadores Financeiros'!$F$12-'Indicadores Financeiros'!$F$11-Tabela3[[#This Row],[ISS]])-1,4)</f>
        <v>0.32279999999999998</v>
      </c>
    </row>
    <row r="79" spans="1:5" x14ac:dyDescent="0.25">
      <c r="A79" s="254" t="s">
        <v>354</v>
      </c>
      <c r="B79" t="s">
        <v>437</v>
      </c>
      <c r="C79" s="255">
        <v>0.03</v>
      </c>
      <c r="D79" s="255">
        <f>ROUND((1+'Indicadores Financeiros'!$F$9)*(1+'Indicadores Financeiros'!$F$10)/(1-'Indicadores Financeiros'!$F$12-'Indicadores Financeiros'!$F$11-Tabela3[[#This Row],[ISS]])-1,4)</f>
        <v>0.29260000000000003</v>
      </c>
    </row>
    <row r="80" spans="1:5" x14ac:dyDescent="0.25">
      <c r="A80" s="254" t="s">
        <v>349</v>
      </c>
      <c r="B80" t="s">
        <v>438</v>
      </c>
      <c r="C80" s="255">
        <v>0.05</v>
      </c>
      <c r="D80" s="255">
        <f>ROUND((1+'Indicadores Financeiros'!$F$9)*(1+'Indicadores Financeiros'!$F$10)/(1-'Indicadores Financeiros'!$F$12-'Indicadores Financeiros'!$F$11-Tabela3[[#This Row],[ISS]])-1,4)</f>
        <v>0.32279999999999998</v>
      </c>
    </row>
    <row r="81" spans="1:4" x14ac:dyDescent="0.25">
      <c r="A81" s="254" t="s">
        <v>354</v>
      </c>
      <c r="B81" t="s">
        <v>439</v>
      </c>
      <c r="C81" s="255">
        <v>0.02</v>
      </c>
      <c r="D81" s="255">
        <f>ROUND((1+'Indicadores Financeiros'!$F$9)*(1+'Indicadores Financeiros'!$F$10)/(1-'Indicadores Financeiros'!$F$12-'Indicadores Financeiros'!$F$11-Tabela3[[#This Row],[ISS]])-1,4)</f>
        <v>0.27810000000000001</v>
      </c>
    </row>
    <row r="82" spans="1:4" x14ac:dyDescent="0.25">
      <c r="A82" s="254" t="s">
        <v>388</v>
      </c>
      <c r="B82" t="s">
        <v>440</v>
      </c>
      <c r="C82" s="255">
        <v>0.03</v>
      </c>
      <c r="D82" s="255">
        <f>ROUND((1+'Indicadores Financeiros'!$F$9)*(1+'Indicadores Financeiros'!$F$10)/(1-'Indicadores Financeiros'!$F$12-'Indicadores Financeiros'!$F$11-Tabela3[[#This Row],[ISS]])-1,4)</f>
        <v>0.29260000000000003</v>
      </c>
    </row>
    <row r="83" spans="1:4" x14ac:dyDescent="0.25">
      <c r="A83" s="254" t="s">
        <v>372</v>
      </c>
      <c r="B83" t="s">
        <v>441</v>
      </c>
      <c r="C83" s="255">
        <v>0.02</v>
      </c>
      <c r="D83" s="255">
        <f>ROUND((1+'Indicadores Financeiros'!$F$9)*(1+'Indicadores Financeiros'!$F$10)/(1-'Indicadores Financeiros'!$F$12-'Indicadores Financeiros'!$F$11-Tabela3[[#This Row],[ISS]])-1,4)</f>
        <v>0.27810000000000001</v>
      </c>
    </row>
    <row r="84" spans="1:4" x14ac:dyDescent="0.25">
      <c r="A84" s="254" t="s">
        <v>372</v>
      </c>
      <c r="B84" t="s">
        <v>442</v>
      </c>
      <c r="C84" s="255">
        <v>0.02</v>
      </c>
      <c r="D84" s="255">
        <f>ROUND((1+'Indicadores Financeiros'!$F$9)*(1+'Indicadores Financeiros'!$F$10)/(1-'Indicadores Financeiros'!$F$12-'Indicadores Financeiros'!$F$11-Tabela3[[#This Row],[ISS]])-1,4)</f>
        <v>0.27810000000000001</v>
      </c>
    </row>
    <row r="85" spans="1:4" x14ac:dyDescent="0.25">
      <c r="A85" s="254" t="s">
        <v>351</v>
      </c>
      <c r="B85" t="s">
        <v>443</v>
      </c>
      <c r="C85" s="255">
        <v>0.03</v>
      </c>
      <c r="D85" s="255">
        <f>ROUND((1+'Indicadores Financeiros'!$F$9)*(1+'Indicadores Financeiros'!$F$10)/(1-'Indicadores Financeiros'!$F$12-'Indicadores Financeiros'!$F$11-Tabela3[[#This Row],[ISS]])-1,4)</f>
        <v>0.29260000000000003</v>
      </c>
    </row>
    <row r="86" spans="1:4" x14ac:dyDescent="0.25">
      <c r="A86" s="254" t="s">
        <v>381</v>
      </c>
      <c r="B86" t="s">
        <v>444</v>
      </c>
      <c r="C86" s="255">
        <v>0.05</v>
      </c>
      <c r="D86" s="255">
        <f>ROUND((1+'Indicadores Financeiros'!$F$9)*(1+'Indicadores Financeiros'!$F$10)/(1-'Indicadores Financeiros'!$F$12-'Indicadores Financeiros'!$F$11-Tabela3[[#This Row],[ISS]])-1,4)</f>
        <v>0.32279999999999998</v>
      </c>
    </row>
    <row r="87" spans="1:4" x14ac:dyDescent="0.25">
      <c r="A87" s="254" t="s">
        <v>354</v>
      </c>
      <c r="B87" t="s">
        <v>445</v>
      </c>
      <c r="C87" s="255">
        <v>0.03</v>
      </c>
      <c r="D87" s="255">
        <f>ROUND((1+'Indicadores Financeiros'!$F$9)*(1+'Indicadores Financeiros'!$F$10)/(1-'Indicadores Financeiros'!$F$12-'Indicadores Financeiros'!$F$11-Tabela3[[#This Row],[ISS]])-1,4)</f>
        <v>0.29260000000000003</v>
      </c>
    </row>
    <row r="88" spans="1:4" x14ac:dyDescent="0.25">
      <c r="A88" s="254" t="s">
        <v>381</v>
      </c>
      <c r="B88" t="s">
        <v>446</v>
      </c>
      <c r="C88" s="255">
        <v>3.5000000000000003E-2</v>
      </c>
      <c r="D88" s="255">
        <f>ROUND((1+'Indicadores Financeiros'!$F$9)*(1+'Indicadores Financeiros'!$F$10)/(1-'Indicadores Financeiros'!$F$12-'Indicadores Financeiros'!$F$11-Tabela3[[#This Row],[ISS]])-1,4)</f>
        <v>0.3</v>
      </c>
    </row>
    <row r="89" spans="1:4" x14ac:dyDescent="0.25">
      <c r="A89" s="254" t="s">
        <v>372</v>
      </c>
      <c r="B89" t="s">
        <v>447</v>
      </c>
      <c r="C89" s="255">
        <v>0.02</v>
      </c>
      <c r="D89" s="255">
        <f>ROUND((1+'Indicadores Financeiros'!$F$9)*(1+'Indicadores Financeiros'!$F$10)/(1-'Indicadores Financeiros'!$F$12-'Indicadores Financeiros'!$F$11-Tabela3[[#This Row],[ISS]])-1,4)</f>
        <v>0.27810000000000001</v>
      </c>
    </row>
    <row r="90" spans="1:4" x14ac:dyDescent="0.25">
      <c r="A90" s="254" t="s">
        <v>349</v>
      </c>
      <c r="B90" t="s">
        <v>448</v>
      </c>
      <c r="C90" s="255">
        <v>0.04</v>
      </c>
      <c r="D90" s="255">
        <f>ROUND((1+'Indicadores Financeiros'!$F$9)*(1+'Indicadores Financeiros'!$F$10)/(1-'Indicadores Financeiros'!$F$12-'Indicadores Financeiros'!$F$11-Tabela3[[#This Row],[ISS]])-1,4)</f>
        <v>0.3075</v>
      </c>
    </row>
    <row r="91" spans="1:4" x14ac:dyDescent="0.25">
      <c r="A91" s="254" t="s">
        <v>356</v>
      </c>
      <c r="B91" t="s">
        <v>449</v>
      </c>
      <c r="C91" s="255">
        <v>0.05</v>
      </c>
      <c r="D91" s="255">
        <f>ROUND((1+'Indicadores Financeiros'!$F$9)*(1+'Indicadores Financeiros'!$F$10)/(1-'Indicadores Financeiros'!$F$12-'Indicadores Financeiros'!$F$11-Tabela3[[#This Row],[ISS]])-1,4)</f>
        <v>0.32279999999999998</v>
      </c>
    </row>
    <row r="92" spans="1:4" x14ac:dyDescent="0.25">
      <c r="A92" s="254" t="s">
        <v>351</v>
      </c>
      <c r="B92" t="s">
        <v>450</v>
      </c>
      <c r="C92" s="255">
        <v>0.05</v>
      </c>
      <c r="D92" s="255">
        <f>ROUND((1+'Indicadores Financeiros'!$F$9)*(1+'Indicadores Financeiros'!$F$10)/(1-'Indicadores Financeiros'!$F$12-'Indicadores Financeiros'!$F$11-Tabela3[[#This Row],[ISS]])-1,4)</f>
        <v>0.32279999999999998</v>
      </c>
    </row>
    <row r="93" spans="1:4" x14ac:dyDescent="0.25">
      <c r="A93" s="254" t="s">
        <v>351</v>
      </c>
      <c r="B93" t="s">
        <v>451</v>
      </c>
      <c r="C93" s="255">
        <v>0.05</v>
      </c>
      <c r="D93" s="255">
        <f>ROUND((1+'Indicadores Financeiros'!$F$9)*(1+'Indicadores Financeiros'!$F$10)/(1-'Indicadores Financeiros'!$F$12-'Indicadores Financeiros'!$F$11-Tabela3[[#This Row],[ISS]])-1,4)</f>
        <v>0.32279999999999998</v>
      </c>
    </row>
    <row r="94" spans="1:4" x14ac:dyDescent="0.25">
      <c r="A94" s="254" t="s">
        <v>349</v>
      </c>
      <c r="B94" t="s">
        <v>452</v>
      </c>
      <c r="C94" s="255">
        <v>0.03</v>
      </c>
      <c r="D94" s="255">
        <f>ROUND((1+'Indicadores Financeiros'!$F$9)*(1+'Indicadores Financeiros'!$F$10)/(1-'Indicadores Financeiros'!$F$12-'Indicadores Financeiros'!$F$11-Tabela3[[#This Row],[ISS]])-1,4)</f>
        <v>0.29260000000000003</v>
      </c>
    </row>
    <row r="95" spans="1:4" x14ac:dyDescent="0.25">
      <c r="A95" s="254" t="s">
        <v>349</v>
      </c>
      <c r="B95" t="s">
        <v>453</v>
      </c>
      <c r="C95" s="255">
        <v>0.03</v>
      </c>
      <c r="D95" s="255">
        <f>ROUND((1+'Indicadores Financeiros'!$F$9)*(1+'Indicadores Financeiros'!$F$10)/(1-'Indicadores Financeiros'!$F$12-'Indicadores Financeiros'!$F$11-Tabela3[[#This Row],[ISS]])-1,4)</f>
        <v>0.29260000000000003</v>
      </c>
    </row>
    <row r="96" spans="1:4" x14ac:dyDescent="0.25">
      <c r="A96" s="254" t="s">
        <v>381</v>
      </c>
      <c r="B96" t="s">
        <v>454</v>
      </c>
      <c r="C96" s="255">
        <v>0.03</v>
      </c>
      <c r="D96" s="255">
        <f>ROUND((1+'Indicadores Financeiros'!$F$9)*(1+'Indicadores Financeiros'!$F$10)/(1-'Indicadores Financeiros'!$F$12-'Indicadores Financeiros'!$F$11-Tabela3[[#This Row],[ISS]])-1,4)</f>
        <v>0.29260000000000003</v>
      </c>
    </row>
    <row r="97" spans="1:4" x14ac:dyDescent="0.25">
      <c r="A97" s="254" t="s">
        <v>361</v>
      </c>
      <c r="B97" t="s">
        <v>455</v>
      </c>
      <c r="C97" s="255">
        <v>0.05</v>
      </c>
      <c r="D97" s="255">
        <f>ROUND((1+'Indicadores Financeiros'!$F$9)*(1+'Indicadores Financeiros'!$F$10)/(1-'Indicadores Financeiros'!$F$12-'Indicadores Financeiros'!$F$11-Tabela3[[#This Row],[ISS]])-1,4)</f>
        <v>0.32279999999999998</v>
      </c>
    </row>
    <row r="98" spans="1:4" x14ac:dyDescent="0.25">
      <c r="A98" s="254" t="s">
        <v>381</v>
      </c>
      <c r="B98" t="s">
        <v>456</v>
      </c>
      <c r="C98" s="255">
        <v>0.03</v>
      </c>
      <c r="D98" s="255">
        <f>ROUND((1+'Indicadores Financeiros'!$F$9)*(1+'Indicadores Financeiros'!$F$10)/(1-'Indicadores Financeiros'!$F$12-'Indicadores Financeiros'!$F$11-Tabela3[[#This Row],[ISS]])-1,4)</f>
        <v>0.29260000000000003</v>
      </c>
    </row>
    <row r="99" spans="1:4" x14ac:dyDescent="0.25">
      <c r="A99" s="254" t="s">
        <v>356</v>
      </c>
      <c r="B99" t="s">
        <v>457</v>
      </c>
      <c r="C99" s="255">
        <v>0.05</v>
      </c>
      <c r="D99" s="255">
        <f>ROUND((1+'Indicadores Financeiros'!$F$9)*(1+'Indicadores Financeiros'!$F$10)/(1-'Indicadores Financeiros'!$F$12-'Indicadores Financeiros'!$F$11-Tabela3[[#This Row],[ISS]])-1,4)</f>
        <v>0.32279999999999998</v>
      </c>
    </row>
    <row r="100" spans="1:4" x14ac:dyDescent="0.25">
      <c r="A100" s="254" t="s">
        <v>361</v>
      </c>
      <c r="B100" t="s">
        <v>458</v>
      </c>
      <c r="C100" s="255">
        <v>0.04</v>
      </c>
      <c r="D100" s="255">
        <f>ROUND((1+'Indicadores Financeiros'!$F$9)*(1+'Indicadores Financeiros'!$F$10)/(1-'Indicadores Financeiros'!$F$12-'Indicadores Financeiros'!$F$11-Tabela3[[#This Row],[ISS]])-1,4)</f>
        <v>0.3075</v>
      </c>
    </row>
    <row r="101" spans="1:4" x14ac:dyDescent="0.25">
      <c r="A101" s="254" t="s">
        <v>372</v>
      </c>
      <c r="B101" t="s">
        <v>459</v>
      </c>
      <c r="C101" s="255">
        <v>0.03</v>
      </c>
      <c r="D101" s="255">
        <f>ROUND((1+'Indicadores Financeiros'!$F$9)*(1+'Indicadores Financeiros'!$F$10)/(1-'Indicadores Financeiros'!$F$12-'Indicadores Financeiros'!$F$11-Tabela3[[#This Row],[ISS]])-1,4)</f>
        <v>0.29260000000000003</v>
      </c>
    </row>
    <row r="102" spans="1:4" x14ac:dyDescent="0.25">
      <c r="A102" s="254" t="s">
        <v>365</v>
      </c>
      <c r="B102" t="s">
        <v>460</v>
      </c>
      <c r="C102" s="255">
        <v>0.03</v>
      </c>
      <c r="D102" s="255">
        <f>ROUND((1+'Indicadores Financeiros'!$F$9)*(1+'Indicadores Financeiros'!$F$10)/(1-'Indicadores Financeiros'!$F$12-'Indicadores Financeiros'!$F$11-Tabela3[[#This Row],[ISS]])-1,4)</f>
        <v>0.29260000000000003</v>
      </c>
    </row>
    <row r="103" spans="1:4" x14ac:dyDescent="0.25">
      <c r="A103" s="254" t="s">
        <v>356</v>
      </c>
      <c r="B103" t="s">
        <v>461</v>
      </c>
      <c r="C103" s="255">
        <v>0.02</v>
      </c>
      <c r="D103" s="255">
        <f>ROUND((1+'Indicadores Financeiros'!$F$9)*(1+'Indicadores Financeiros'!$F$10)/(1-'Indicadores Financeiros'!$F$12-'Indicadores Financeiros'!$F$11-Tabela3[[#This Row],[ISS]])-1,4)</f>
        <v>0.27810000000000001</v>
      </c>
    </row>
    <row r="104" spans="1:4" x14ac:dyDescent="0.25">
      <c r="A104" s="254" t="s">
        <v>388</v>
      </c>
      <c r="B104" t="s">
        <v>462</v>
      </c>
      <c r="C104" s="255">
        <v>0.05</v>
      </c>
      <c r="D104" s="255">
        <f>ROUND((1+'Indicadores Financeiros'!$F$9)*(1+'Indicadores Financeiros'!$F$10)/(1-'Indicadores Financeiros'!$F$12-'Indicadores Financeiros'!$F$11-Tabela3[[#This Row],[ISS]])-1,4)</f>
        <v>0.32279999999999998</v>
      </c>
    </row>
    <row r="105" spans="1:4" x14ac:dyDescent="0.25">
      <c r="A105" s="254" t="s">
        <v>372</v>
      </c>
      <c r="B105" t="s">
        <v>463</v>
      </c>
      <c r="C105" s="255">
        <v>0.05</v>
      </c>
      <c r="D105" s="255">
        <f>ROUND((1+'Indicadores Financeiros'!$F$9)*(1+'Indicadores Financeiros'!$F$10)/(1-'Indicadores Financeiros'!$F$12-'Indicadores Financeiros'!$F$11-Tabela3[[#This Row],[ISS]])-1,4)</f>
        <v>0.32279999999999998</v>
      </c>
    </row>
    <row r="106" spans="1:4" x14ac:dyDescent="0.25">
      <c r="A106" s="254" t="s">
        <v>351</v>
      </c>
      <c r="B106" t="s">
        <v>464</v>
      </c>
      <c r="C106" s="255">
        <v>0.03</v>
      </c>
      <c r="D106" s="255">
        <f>ROUND((1+'Indicadores Financeiros'!$F$9)*(1+'Indicadores Financeiros'!$F$10)/(1-'Indicadores Financeiros'!$F$12-'Indicadores Financeiros'!$F$11-Tabela3[[#This Row],[ISS]])-1,4)</f>
        <v>0.29260000000000003</v>
      </c>
    </row>
    <row r="107" spans="1:4" x14ac:dyDescent="0.25">
      <c r="A107" s="254" t="s">
        <v>356</v>
      </c>
      <c r="B107" t="s">
        <v>465</v>
      </c>
      <c r="C107" s="255">
        <v>0.03</v>
      </c>
      <c r="D107" s="255">
        <f>ROUND((1+'Indicadores Financeiros'!$F$9)*(1+'Indicadores Financeiros'!$F$10)/(1-'Indicadores Financeiros'!$F$12-'Indicadores Financeiros'!$F$11-Tabela3[[#This Row],[ISS]])-1,4)</f>
        <v>0.29260000000000003</v>
      </c>
    </row>
    <row r="108" spans="1:4" x14ac:dyDescent="0.25">
      <c r="A108" s="254" t="s">
        <v>356</v>
      </c>
      <c r="B108" t="s">
        <v>466</v>
      </c>
      <c r="C108" s="255">
        <v>0.02</v>
      </c>
      <c r="D108" s="255">
        <f>ROUND((1+'Indicadores Financeiros'!$F$9)*(1+'Indicadores Financeiros'!$F$10)/(1-'Indicadores Financeiros'!$F$12-'Indicadores Financeiros'!$F$11-Tabela3[[#This Row],[ISS]])-1,4)</f>
        <v>0.27810000000000001</v>
      </c>
    </row>
    <row r="109" spans="1:4" x14ac:dyDescent="0.25">
      <c r="A109" s="254" t="s">
        <v>356</v>
      </c>
      <c r="B109" t="s">
        <v>467</v>
      </c>
      <c r="C109" s="255">
        <v>0.02</v>
      </c>
      <c r="D109" s="255">
        <f>ROUND((1+'Indicadores Financeiros'!$F$9)*(1+'Indicadores Financeiros'!$F$10)/(1-'Indicadores Financeiros'!$F$12-'Indicadores Financeiros'!$F$11-Tabela3[[#This Row],[ISS]])-1,4)</f>
        <v>0.27810000000000001</v>
      </c>
    </row>
    <row r="110" spans="1:4" x14ac:dyDescent="0.25">
      <c r="A110" s="254" t="s">
        <v>363</v>
      </c>
      <c r="B110" t="s">
        <v>468</v>
      </c>
      <c r="C110" s="255">
        <v>0.03</v>
      </c>
      <c r="D110" s="255">
        <f>ROUND((1+'Indicadores Financeiros'!$F$9)*(1+'Indicadores Financeiros'!$F$10)/(1-'Indicadores Financeiros'!$F$12-'Indicadores Financeiros'!$F$11-Tabela3[[#This Row],[ISS]])-1,4)</f>
        <v>0.29260000000000003</v>
      </c>
    </row>
    <row r="111" spans="1:4" x14ac:dyDescent="0.25">
      <c r="A111" s="254" t="s">
        <v>349</v>
      </c>
      <c r="B111" t="s">
        <v>469</v>
      </c>
      <c r="C111" s="255">
        <v>3.5000000000000003E-2</v>
      </c>
      <c r="D111" s="255">
        <f>ROUND((1+'Indicadores Financeiros'!$F$9)*(1+'Indicadores Financeiros'!$F$10)/(1-'Indicadores Financeiros'!$F$12-'Indicadores Financeiros'!$F$11-Tabela3[[#This Row],[ISS]])-1,4)</f>
        <v>0.3</v>
      </c>
    </row>
    <row r="112" spans="1:4" x14ac:dyDescent="0.25">
      <c r="A112" s="254" t="s">
        <v>356</v>
      </c>
      <c r="B112" t="s">
        <v>470</v>
      </c>
      <c r="C112" s="255">
        <v>0.03</v>
      </c>
      <c r="D112" s="255">
        <f>ROUND((1+'Indicadores Financeiros'!$F$9)*(1+'Indicadores Financeiros'!$F$10)/(1-'Indicadores Financeiros'!$F$12-'Indicadores Financeiros'!$F$11-Tabela3[[#This Row],[ISS]])-1,4)</f>
        <v>0.29260000000000003</v>
      </c>
    </row>
    <row r="113" spans="1:4" x14ac:dyDescent="0.25">
      <c r="A113" s="254" t="s">
        <v>388</v>
      </c>
      <c r="B113" t="s">
        <v>471</v>
      </c>
      <c r="C113" s="255">
        <v>0.03</v>
      </c>
      <c r="D113" s="255">
        <f>ROUND((1+'Indicadores Financeiros'!$F$9)*(1+'Indicadores Financeiros'!$F$10)/(1-'Indicadores Financeiros'!$F$12-'Indicadores Financeiros'!$F$11-Tabela3[[#This Row],[ISS]])-1,4)</f>
        <v>0.29260000000000003</v>
      </c>
    </row>
    <row r="114" spans="1:4" x14ac:dyDescent="0.25">
      <c r="A114" s="254" t="s">
        <v>361</v>
      </c>
      <c r="B114" t="s">
        <v>472</v>
      </c>
      <c r="C114" s="255">
        <v>0.03</v>
      </c>
      <c r="D114" s="255">
        <f>ROUND((1+'Indicadores Financeiros'!$F$9)*(1+'Indicadores Financeiros'!$F$10)/(1-'Indicadores Financeiros'!$F$12-'Indicadores Financeiros'!$F$11-Tabela3[[#This Row],[ISS]])-1,4)</f>
        <v>0.29260000000000003</v>
      </c>
    </row>
    <row r="115" spans="1:4" x14ac:dyDescent="0.25">
      <c r="A115" s="254" t="s">
        <v>365</v>
      </c>
      <c r="B115" t="s">
        <v>473</v>
      </c>
      <c r="C115" s="255">
        <v>0.05</v>
      </c>
      <c r="D115" s="255">
        <f>ROUND((1+'Indicadores Financeiros'!$F$9)*(1+'Indicadores Financeiros'!$F$10)/(1-'Indicadores Financeiros'!$F$12-'Indicadores Financeiros'!$F$11-Tabela3[[#This Row],[ISS]])-1,4)</f>
        <v>0.32279999999999998</v>
      </c>
    </row>
    <row r="116" spans="1:4" x14ac:dyDescent="0.25">
      <c r="A116" s="254" t="s">
        <v>363</v>
      </c>
      <c r="B116" t="s">
        <v>474</v>
      </c>
      <c r="C116" s="255">
        <v>0.02</v>
      </c>
      <c r="D116" s="255">
        <f>ROUND((1+'Indicadores Financeiros'!$F$9)*(1+'Indicadores Financeiros'!$F$10)/(1-'Indicadores Financeiros'!$F$12-'Indicadores Financeiros'!$F$11-Tabela3[[#This Row],[ISS]])-1,4)</f>
        <v>0.27810000000000001</v>
      </c>
    </row>
    <row r="117" spans="1:4" x14ac:dyDescent="0.25">
      <c r="A117" s="254" t="s">
        <v>354</v>
      </c>
      <c r="B117" t="s">
        <v>475</v>
      </c>
      <c r="C117" s="255">
        <v>0.05</v>
      </c>
      <c r="D117" s="255">
        <f>ROUND((1+'Indicadores Financeiros'!$F$9)*(1+'Indicadores Financeiros'!$F$10)/(1-'Indicadores Financeiros'!$F$12-'Indicadores Financeiros'!$F$11-Tabela3[[#This Row],[ISS]])-1,4)</f>
        <v>0.32279999999999998</v>
      </c>
    </row>
    <row r="118" spans="1:4" x14ac:dyDescent="0.25">
      <c r="A118" s="254" t="s">
        <v>356</v>
      </c>
      <c r="B118" t="s">
        <v>476</v>
      </c>
      <c r="C118" s="255">
        <v>0.05</v>
      </c>
      <c r="D118" s="255">
        <f>ROUND((1+'Indicadores Financeiros'!$F$9)*(1+'Indicadores Financeiros'!$F$10)/(1-'Indicadores Financeiros'!$F$12-'Indicadores Financeiros'!$F$11-Tabela3[[#This Row],[ISS]])-1,4)</f>
        <v>0.32279999999999998</v>
      </c>
    </row>
    <row r="119" spans="1:4" x14ac:dyDescent="0.25">
      <c r="A119" s="254" t="s">
        <v>363</v>
      </c>
      <c r="B119" t="s">
        <v>477</v>
      </c>
      <c r="C119" s="255">
        <v>0.05</v>
      </c>
      <c r="D119" s="255">
        <f>ROUND((1+'Indicadores Financeiros'!$F$9)*(1+'Indicadores Financeiros'!$F$10)/(1-'Indicadores Financeiros'!$F$12-'Indicadores Financeiros'!$F$11-Tabela3[[#This Row],[ISS]])-1,4)</f>
        <v>0.32279999999999998</v>
      </c>
    </row>
    <row r="120" spans="1:4" x14ac:dyDescent="0.25">
      <c r="A120" s="254" t="s">
        <v>354</v>
      </c>
      <c r="B120" t="s">
        <v>478</v>
      </c>
      <c r="C120" s="255">
        <v>0.03</v>
      </c>
      <c r="D120" s="255">
        <f>ROUND((1+'Indicadores Financeiros'!$F$9)*(1+'Indicadores Financeiros'!$F$10)/(1-'Indicadores Financeiros'!$F$12-'Indicadores Financeiros'!$F$11-Tabela3[[#This Row],[ISS]])-1,4)</f>
        <v>0.29260000000000003</v>
      </c>
    </row>
    <row r="121" spans="1:4" x14ac:dyDescent="0.25">
      <c r="A121" s="254" t="s">
        <v>381</v>
      </c>
      <c r="B121" t="s">
        <v>479</v>
      </c>
      <c r="C121" s="255">
        <v>0.03</v>
      </c>
      <c r="D121" s="255">
        <f>ROUND((1+'Indicadores Financeiros'!$F$9)*(1+'Indicadores Financeiros'!$F$10)/(1-'Indicadores Financeiros'!$F$12-'Indicadores Financeiros'!$F$11-Tabela3[[#This Row],[ISS]])-1,4)</f>
        <v>0.29260000000000003</v>
      </c>
    </row>
    <row r="122" spans="1:4" x14ac:dyDescent="0.25">
      <c r="A122" s="254" t="s">
        <v>388</v>
      </c>
      <c r="B122" t="s">
        <v>480</v>
      </c>
      <c r="C122" s="255">
        <v>0.05</v>
      </c>
      <c r="D122" s="255">
        <f>ROUND((1+'Indicadores Financeiros'!$F$9)*(1+'Indicadores Financeiros'!$F$10)/(1-'Indicadores Financeiros'!$F$12-'Indicadores Financeiros'!$F$11-Tabela3[[#This Row],[ISS]])-1,4)</f>
        <v>0.32279999999999998</v>
      </c>
    </row>
    <row r="123" spans="1:4" x14ac:dyDescent="0.25">
      <c r="A123" s="254" t="s">
        <v>372</v>
      </c>
      <c r="B123" t="s">
        <v>481</v>
      </c>
      <c r="C123" s="255">
        <v>0.05</v>
      </c>
      <c r="D123" s="255">
        <f>ROUND((1+'Indicadores Financeiros'!$F$9)*(1+'Indicadores Financeiros'!$F$10)/(1-'Indicadores Financeiros'!$F$12-'Indicadores Financeiros'!$F$11-Tabela3[[#This Row],[ISS]])-1,4)</f>
        <v>0.32279999999999998</v>
      </c>
    </row>
    <row r="124" spans="1:4" x14ac:dyDescent="0.25">
      <c r="A124" s="254" t="s">
        <v>363</v>
      </c>
      <c r="B124" t="s">
        <v>482</v>
      </c>
      <c r="C124" s="255">
        <v>0.05</v>
      </c>
      <c r="D124" s="255">
        <f>ROUND((1+'Indicadores Financeiros'!$F$9)*(1+'Indicadores Financeiros'!$F$10)/(1-'Indicadores Financeiros'!$F$12-'Indicadores Financeiros'!$F$11-Tabela3[[#This Row],[ISS]])-1,4)</f>
        <v>0.32279999999999998</v>
      </c>
    </row>
    <row r="125" spans="1:4" x14ac:dyDescent="0.25">
      <c r="A125" s="254" t="s">
        <v>363</v>
      </c>
      <c r="B125" t="s">
        <v>483</v>
      </c>
      <c r="C125" s="255">
        <v>0.03</v>
      </c>
      <c r="D125" s="255">
        <f>ROUND((1+'Indicadores Financeiros'!$F$9)*(1+'Indicadores Financeiros'!$F$10)/(1-'Indicadores Financeiros'!$F$12-'Indicadores Financeiros'!$F$11-Tabela3[[#This Row],[ISS]])-1,4)</f>
        <v>0.29260000000000003</v>
      </c>
    </row>
    <row r="126" spans="1:4" x14ac:dyDescent="0.25">
      <c r="A126" s="254" t="s">
        <v>372</v>
      </c>
      <c r="B126" t="s">
        <v>484</v>
      </c>
      <c r="C126" s="255">
        <v>0.05</v>
      </c>
      <c r="D126" s="255">
        <f>ROUND((1+'Indicadores Financeiros'!$F$9)*(1+'Indicadores Financeiros'!$F$10)/(1-'Indicadores Financeiros'!$F$12-'Indicadores Financeiros'!$F$11-Tabela3[[#This Row],[ISS]])-1,4)</f>
        <v>0.32279999999999998</v>
      </c>
    </row>
    <row r="127" spans="1:4" x14ac:dyDescent="0.25">
      <c r="A127" s="254" t="s">
        <v>351</v>
      </c>
      <c r="B127" t="s">
        <v>485</v>
      </c>
      <c r="C127" s="255">
        <v>0.05</v>
      </c>
      <c r="D127" s="255">
        <f>ROUND((1+'Indicadores Financeiros'!$F$9)*(1+'Indicadores Financeiros'!$F$10)/(1-'Indicadores Financeiros'!$F$12-'Indicadores Financeiros'!$F$11-Tabela3[[#This Row],[ISS]])-1,4)</f>
        <v>0.32279999999999998</v>
      </c>
    </row>
    <row r="128" spans="1:4" x14ac:dyDescent="0.25">
      <c r="A128" s="254" t="s">
        <v>356</v>
      </c>
      <c r="B128" t="s">
        <v>486</v>
      </c>
      <c r="C128" s="255">
        <v>0.03</v>
      </c>
      <c r="D128" s="255">
        <f>ROUND((1+'Indicadores Financeiros'!$F$9)*(1+'Indicadores Financeiros'!$F$10)/(1-'Indicadores Financeiros'!$F$12-'Indicadores Financeiros'!$F$11-Tabela3[[#This Row],[ISS]])-1,4)</f>
        <v>0.29260000000000003</v>
      </c>
    </row>
    <row r="129" spans="1:4" x14ac:dyDescent="0.25">
      <c r="A129" s="254" t="s">
        <v>363</v>
      </c>
      <c r="B129" t="s">
        <v>487</v>
      </c>
      <c r="C129" s="255">
        <v>0.05</v>
      </c>
      <c r="D129" s="255">
        <f>ROUND((1+'Indicadores Financeiros'!$F$9)*(1+'Indicadores Financeiros'!$F$10)/(1-'Indicadores Financeiros'!$F$12-'Indicadores Financeiros'!$F$11-Tabela3[[#This Row],[ISS]])-1,4)</f>
        <v>0.32279999999999998</v>
      </c>
    </row>
    <row r="130" spans="1:4" x14ac:dyDescent="0.25">
      <c r="A130" s="254" t="s">
        <v>372</v>
      </c>
      <c r="B130" t="s">
        <v>488</v>
      </c>
      <c r="C130" s="255">
        <v>0.05</v>
      </c>
      <c r="D130" s="255">
        <f>ROUND((1+'Indicadores Financeiros'!$F$9)*(1+'Indicadores Financeiros'!$F$10)/(1-'Indicadores Financeiros'!$F$12-'Indicadores Financeiros'!$F$11-Tabela3[[#This Row],[ISS]])-1,4)</f>
        <v>0.32279999999999998</v>
      </c>
    </row>
    <row r="131" spans="1:4" x14ac:dyDescent="0.25">
      <c r="A131" s="254" t="s">
        <v>363</v>
      </c>
      <c r="B131" t="s">
        <v>489</v>
      </c>
      <c r="C131" s="255">
        <v>0.05</v>
      </c>
      <c r="D131" s="255">
        <f>ROUND((1+'Indicadores Financeiros'!$F$9)*(1+'Indicadores Financeiros'!$F$10)/(1-'Indicadores Financeiros'!$F$12-'Indicadores Financeiros'!$F$11-Tabela3[[#This Row],[ISS]])-1,4)</f>
        <v>0.32279999999999998</v>
      </c>
    </row>
    <row r="132" spans="1:4" x14ac:dyDescent="0.25">
      <c r="A132" s="254" t="s">
        <v>388</v>
      </c>
      <c r="B132" t="s">
        <v>490</v>
      </c>
      <c r="C132" s="255">
        <v>0.05</v>
      </c>
      <c r="D132" s="255">
        <f>ROUND((1+'Indicadores Financeiros'!$F$9)*(1+'Indicadores Financeiros'!$F$10)/(1-'Indicadores Financeiros'!$F$12-'Indicadores Financeiros'!$F$11-Tabela3[[#This Row],[ISS]])-1,4)</f>
        <v>0.32279999999999998</v>
      </c>
    </row>
    <row r="133" spans="1:4" x14ac:dyDescent="0.25">
      <c r="A133" s="254" t="s">
        <v>351</v>
      </c>
      <c r="B133" t="s">
        <v>491</v>
      </c>
      <c r="C133" s="255">
        <v>0.02</v>
      </c>
      <c r="D133" s="255">
        <f>ROUND((1+'Indicadores Financeiros'!$F$9)*(1+'Indicadores Financeiros'!$F$10)/(1-'Indicadores Financeiros'!$F$12-'Indicadores Financeiros'!$F$11-Tabela3[[#This Row],[ISS]])-1,4)</f>
        <v>0.27810000000000001</v>
      </c>
    </row>
    <row r="134" spans="1:4" x14ac:dyDescent="0.25">
      <c r="A134" s="254" t="s">
        <v>354</v>
      </c>
      <c r="B134" t="s">
        <v>492</v>
      </c>
      <c r="C134" s="255">
        <v>0.05</v>
      </c>
      <c r="D134" s="255">
        <f>ROUND((1+'Indicadores Financeiros'!$F$9)*(1+'Indicadores Financeiros'!$F$10)/(1-'Indicadores Financeiros'!$F$12-'Indicadores Financeiros'!$F$11-Tabela3[[#This Row],[ISS]])-1,4)</f>
        <v>0.32279999999999998</v>
      </c>
    </row>
    <row r="135" spans="1:4" x14ac:dyDescent="0.25">
      <c r="A135" s="254" t="s">
        <v>351</v>
      </c>
      <c r="B135" t="s">
        <v>493</v>
      </c>
      <c r="C135" s="255">
        <v>0.04</v>
      </c>
      <c r="D135" s="255">
        <f>ROUND((1+'Indicadores Financeiros'!$F$9)*(1+'Indicadores Financeiros'!$F$10)/(1-'Indicadores Financeiros'!$F$12-'Indicadores Financeiros'!$F$11-Tabela3[[#This Row],[ISS]])-1,4)</f>
        <v>0.3075</v>
      </c>
    </row>
    <row r="136" spans="1:4" x14ac:dyDescent="0.25">
      <c r="A136" s="254" t="s">
        <v>363</v>
      </c>
      <c r="B136" t="s">
        <v>494</v>
      </c>
      <c r="C136" s="255">
        <v>0.03</v>
      </c>
      <c r="D136" s="255">
        <f>ROUND((1+'Indicadores Financeiros'!$F$9)*(1+'Indicadores Financeiros'!$F$10)/(1-'Indicadores Financeiros'!$F$12-'Indicadores Financeiros'!$F$11-Tabela3[[#This Row],[ISS]])-1,4)</f>
        <v>0.29260000000000003</v>
      </c>
    </row>
    <row r="137" spans="1:4" x14ac:dyDescent="0.25">
      <c r="A137" s="254" t="s">
        <v>351</v>
      </c>
      <c r="B137" t="s">
        <v>495</v>
      </c>
      <c r="C137" s="255">
        <v>0.02</v>
      </c>
      <c r="D137" s="255">
        <f>ROUND((1+'Indicadores Financeiros'!$F$9)*(1+'Indicadores Financeiros'!$F$10)/(1-'Indicadores Financeiros'!$F$12-'Indicadores Financeiros'!$F$11-Tabela3[[#This Row],[ISS]])-1,4)</f>
        <v>0.27810000000000001</v>
      </c>
    </row>
    <row r="138" spans="1:4" x14ac:dyDescent="0.25">
      <c r="A138" s="254" t="s">
        <v>356</v>
      </c>
      <c r="B138" t="s">
        <v>496</v>
      </c>
      <c r="C138" s="255">
        <v>0.02</v>
      </c>
      <c r="D138" s="255">
        <f>ROUND((1+'Indicadores Financeiros'!$F$9)*(1+'Indicadores Financeiros'!$F$10)/(1-'Indicadores Financeiros'!$F$12-'Indicadores Financeiros'!$F$11-Tabela3[[#This Row],[ISS]])-1,4)</f>
        <v>0.27810000000000001</v>
      </c>
    </row>
    <row r="139" spans="1:4" x14ac:dyDescent="0.25">
      <c r="A139" s="254" t="s">
        <v>356</v>
      </c>
      <c r="B139" t="s">
        <v>497</v>
      </c>
      <c r="C139" s="255">
        <v>0.03</v>
      </c>
      <c r="D139" s="255">
        <f>ROUND((1+'Indicadores Financeiros'!$F$9)*(1+'Indicadores Financeiros'!$F$10)/(1-'Indicadores Financeiros'!$F$12-'Indicadores Financeiros'!$F$11-Tabela3[[#This Row],[ISS]])-1,4)</f>
        <v>0.29260000000000003</v>
      </c>
    </row>
    <row r="140" spans="1:4" x14ac:dyDescent="0.25">
      <c r="A140" s="254" t="s">
        <v>365</v>
      </c>
      <c r="B140" t="s">
        <v>498</v>
      </c>
      <c r="C140" s="255">
        <v>0.03</v>
      </c>
      <c r="D140" s="255">
        <f>ROUND((1+'Indicadores Financeiros'!$F$9)*(1+'Indicadores Financeiros'!$F$10)/(1-'Indicadores Financeiros'!$F$12-'Indicadores Financeiros'!$F$11-Tabela3[[#This Row],[ISS]])-1,4)</f>
        <v>0.29260000000000003</v>
      </c>
    </row>
    <row r="141" spans="1:4" x14ac:dyDescent="0.25">
      <c r="A141" s="254" t="s">
        <v>388</v>
      </c>
      <c r="B141" t="s">
        <v>499</v>
      </c>
      <c r="C141" s="255">
        <v>0.02</v>
      </c>
      <c r="D141" s="255">
        <f>ROUND((1+'Indicadores Financeiros'!$F$9)*(1+'Indicadores Financeiros'!$F$10)/(1-'Indicadores Financeiros'!$F$12-'Indicadores Financeiros'!$F$11-Tabela3[[#This Row],[ISS]])-1,4)</f>
        <v>0.27810000000000001</v>
      </c>
    </row>
    <row r="142" spans="1:4" x14ac:dyDescent="0.25">
      <c r="A142" s="254" t="s">
        <v>351</v>
      </c>
      <c r="B142" t="s">
        <v>500</v>
      </c>
      <c r="C142" s="255">
        <v>0.02</v>
      </c>
      <c r="D142" s="255">
        <f>ROUND((1+'Indicadores Financeiros'!$F$9)*(1+'Indicadores Financeiros'!$F$10)/(1-'Indicadores Financeiros'!$F$12-'Indicadores Financeiros'!$F$11-Tabela3[[#This Row],[ISS]])-1,4)</f>
        <v>0.27810000000000001</v>
      </c>
    </row>
    <row r="143" spans="1:4" x14ac:dyDescent="0.25">
      <c r="A143" s="254" t="s">
        <v>361</v>
      </c>
      <c r="B143" t="s">
        <v>501</v>
      </c>
      <c r="C143" s="255">
        <v>0.03</v>
      </c>
      <c r="D143" s="255">
        <f>ROUND((1+'Indicadores Financeiros'!$F$9)*(1+'Indicadores Financeiros'!$F$10)/(1-'Indicadores Financeiros'!$F$12-'Indicadores Financeiros'!$F$11-Tabela3[[#This Row],[ISS]])-1,4)</f>
        <v>0.29260000000000003</v>
      </c>
    </row>
    <row r="144" spans="1:4" x14ac:dyDescent="0.25">
      <c r="A144" s="254" t="s">
        <v>372</v>
      </c>
      <c r="B144" t="s">
        <v>502</v>
      </c>
      <c r="C144" s="255">
        <v>0.05</v>
      </c>
      <c r="D144" s="255">
        <f>ROUND((1+'Indicadores Financeiros'!$F$9)*(1+'Indicadores Financeiros'!$F$10)/(1-'Indicadores Financeiros'!$F$12-'Indicadores Financeiros'!$F$11-Tabela3[[#This Row],[ISS]])-1,4)</f>
        <v>0.32279999999999998</v>
      </c>
    </row>
    <row r="145" spans="1:4" x14ac:dyDescent="0.25">
      <c r="A145" s="254" t="s">
        <v>356</v>
      </c>
      <c r="B145" t="s">
        <v>503</v>
      </c>
      <c r="C145" s="255">
        <v>0.02</v>
      </c>
      <c r="D145" s="255">
        <f>ROUND((1+'Indicadores Financeiros'!$F$9)*(1+'Indicadores Financeiros'!$F$10)/(1-'Indicadores Financeiros'!$F$12-'Indicadores Financeiros'!$F$11-Tabela3[[#This Row],[ISS]])-1,4)</f>
        <v>0.27810000000000001</v>
      </c>
    </row>
    <row r="146" spans="1:4" x14ac:dyDescent="0.25">
      <c r="A146" s="254" t="s">
        <v>351</v>
      </c>
      <c r="B146" t="s">
        <v>504</v>
      </c>
      <c r="C146" s="255">
        <v>0.05</v>
      </c>
      <c r="D146" s="255">
        <f>ROUND((1+'Indicadores Financeiros'!$F$9)*(1+'Indicadores Financeiros'!$F$10)/(1-'Indicadores Financeiros'!$F$12-'Indicadores Financeiros'!$F$11-Tabela3[[#This Row],[ISS]])-1,4)</f>
        <v>0.32279999999999998</v>
      </c>
    </row>
    <row r="147" spans="1:4" x14ac:dyDescent="0.25">
      <c r="A147" s="254" t="s">
        <v>354</v>
      </c>
      <c r="B147" t="s">
        <v>505</v>
      </c>
      <c r="C147" s="255">
        <v>0.03</v>
      </c>
      <c r="D147" s="255">
        <f>ROUND((1+'Indicadores Financeiros'!$F$9)*(1+'Indicadores Financeiros'!$F$10)/(1-'Indicadores Financeiros'!$F$12-'Indicadores Financeiros'!$F$11-Tabela3[[#This Row],[ISS]])-1,4)</f>
        <v>0.29260000000000003</v>
      </c>
    </row>
    <row r="148" spans="1:4" x14ac:dyDescent="0.25">
      <c r="A148" s="254" t="s">
        <v>381</v>
      </c>
      <c r="B148" t="s">
        <v>506</v>
      </c>
      <c r="C148" s="255">
        <v>0.03</v>
      </c>
      <c r="D148" s="255">
        <f>ROUND((1+'Indicadores Financeiros'!$F$9)*(1+'Indicadores Financeiros'!$F$10)/(1-'Indicadores Financeiros'!$F$12-'Indicadores Financeiros'!$F$11-Tabela3[[#This Row],[ISS]])-1,4)</f>
        <v>0.29260000000000003</v>
      </c>
    </row>
    <row r="149" spans="1:4" x14ac:dyDescent="0.25">
      <c r="A149" s="254" t="s">
        <v>351</v>
      </c>
      <c r="B149" t="s">
        <v>507</v>
      </c>
      <c r="C149" s="255">
        <v>0.02</v>
      </c>
      <c r="D149" s="255">
        <f>ROUND((1+'Indicadores Financeiros'!$F$9)*(1+'Indicadores Financeiros'!$F$10)/(1-'Indicadores Financeiros'!$F$12-'Indicadores Financeiros'!$F$11-Tabela3[[#This Row],[ISS]])-1,4)</f>
        <v>0.27810000000000001</v>
      </c>
    </row>
    <row r="150" spans="1:4" x14ac:dyDescent="0.25">
      <c r="A150" s="254" t="s">
        <v>349</v>
      </c>
      <c r="B150" t="s">
        <v>508</v>
      </c>
      <c r="C150" s="255">
        <v>0.03</v>
      </c>
      <c r="D150" s="255">
        <f>ROUND((1+'Indicadores Financeiros'!$F$9)*(1+'Indicadores Financeiros'!$F$10)/(1-'Indicadores Financeiros'!$F$12-'Indicadores Financeiros'!$F$11-Tabela3[[#This Row],[ISS]])-1,4)</f>
        <v>0.29260000000000003</v>
      </c>
    </row>
    <row r="151" spans="1:4" x14ac:dyDescent="0.25">
      <c r="A151" s="254" t="s">
        <v>388</v>
      </c>
      <c r="B151" t="s">
        <v>509</v>
      </c>
      <c r="C151" s="255">
        <v>0.02</v>
      </c>
      <c r="D151" s="255">
        <f>ROUND((1+'Indicadores Financeiros'!$F$9)*(1+'Indicadores Financeiros'!$F$10)/(1-'Indicadores Financeiros'!$F$12-'Indicadores Financeiros'!$F$11-Tabela3[[#This Row],[ISS]])-1,4)</f>
        <v>0.27810000000000001</v>
      </c>
    </row>
    <row r="152" spans="1:4" x14ac:dyDescent="0.25">
      <c r="A152" s="254" t="s">
        <v>351</v>
      </c>
      <c r="B152" t="s">
        <v>510</v>
      </c>
      <c r="C152" s="255">
        <v>0.05</v>
      </c>
      <c r="D152" s="255">
        <f>ROUND((1+'Indicadores Financeiros'!$F$9)*(1+'Indicadores Financeiros'!$F$10)/(1-'Indicadores Financeiros'!$F$12-'Indicadores Financeiros'!$F$11-Tabela3[[#This Row],[ISS]])-1,4)</f>
        <v>0.32279999999999998</v>
      </c>
    </row>
    <row r="153" spans="1:4" x14ac:dyDescent="0.25">
      <c r="A153" s="254" t="s">
        <v>351</v>
      </c>
      <c r="B153" t="s">
        <v>511</v>
      </c>
      <c r="C153" s="255">
        <v>0.05</v>
      </c>
      <c r="D153" s="255">
        <f>ROUND((1+'Indicadores Financeiros'!$F$9)*(1+'Indicadores Financeiros'!$F$10)/(1-'Indicadores Financeiros'!$F$12-'Indicadores Financeiros'!$F$11-Tabela3[[#This Row],[ISS]])-1,4)</f>
        <v>0.32279999999999998</v>
      </c>
    </row>
    <row r="154" spans="1:4" x14ac:dyDescent="0.25">
      <c r="A154" s="254" t="s">
        <v>354</v>
      </c>
      <c r="B154" t="s">
        <v>512</v>
      </c>
      <c r="C154" s="255">
        <v>0.03</v>
      </c>
      <c r="D154" s="255">
        <f>ROUND((1+'Indicadores Financeiros'!$F$9)*(1+'Indicadores Financeiros'!$F$10)/(1-'Indicadores Financeiros'!$F$12-'Indicadores Financeiros'!$F$11-Tabela3[[#This Row],[ISS]])-1,4)</f>
        <v>0.29260000000000003</v>
      </c>
    </row>
    <row r="155" spans="1:4" x14ac:dyDescent="0.25">
      <c r="A155" s="254" t="s">
        <v>351</v>
      </c>
      <c r="B155" t="s">
        <v>513</v>
      </c>
      <c r="C155" s="255">
        <v>0.02</v>
      </c>
      <c r="D155" s="255">
        <f>ROUND((1+'Indicadores Financeiros'!$F$9)*(1+'Indicadores Financeiros'!$F$10)/(1-'Indicadores Financeiros'!$F$12-'Indicadores Financeiros'!$F$11-Tabela3[[#This Row],[ISS]])-1,4)</f>
        <v>0.27810000000000001</v>
      </c>
    </row>
    <row r="156" spans="1:4" x14ac:dyDescent="0.25">
      <c r="A156" s="254" t="s">
        <v>361</v>
      </c>
      <c r="B156" t="s">
        <v>514</v>
      </c>
      <c r="C156" s="255">
        <v>0.02</v>
      </c>
      <c r="D156" s="255">
        <f>ROUND((1+'Indicadores Financeiros'!$F$9)*(1+'Indicadores Financeiros'!$F$10)/(1-'Indicadores Financeiros'!$F$12-'Indicadores Financeiros'!$F$11-Tabela3[[#This Row],[ISS]])-1,4)</f>
        <v>0.27810000000000001</v>
      </c>
    </row>
    <row r="157" spans="1:4" x14ac:dyDescent="0.25">
      <c r="A157" s="254" t="s">
        <v>365</v>
      </c>
      <c r="B157" t="s">
        <v>515</v>
      </c>
      <c r="C157" s="255">
        <v>0.05</v>
      </c>
      <c r="D157" s="255">
        <f>ROUND((1+'Indicadores Financeiros'!$F$9)*(1+'Indicadores Financeiros'!$F$10)/(1-'Indicadores Financeiros'!$F$12-'Indicadores Financeiros'!$F$11-Tabela3[[#This Row],[ISS]])-1,4)</f>
        <v>0.32279999999999998</v>
      </c>
    </row>
    <row r="158" spans="1:4" x14ac:dyDescent="0.25">
      <c r="A158" s="254" t="s">
        <v>351</v>
      </c>
      <c r="B158" t="s">
        <v>516</v>
      </c>
      <c r="C158" s="255">
        <v>0.02</v>
      </c>
      <c r="D158" s="255">
        <f>ROUND((1+'Indicadores Financeiros'!$F$9)*(1+'Indicadores Financeiros'!$F$10)/(1-'Indicadores Financeiros'!$F$12-'Indicadores Financeiros'!$F$11-Tabela3[[#This Row],[ISS]])-1,4)</f>
        <v>0.27810000000000001</v>
      </c>
    </row>
    <row r="159" spans="1:4" x14ac:dyDescent="0.25">
      <c r="A159" s="254" t="s">
        <v>349</v>
      </c>
      <c r="B159" t="s">
        <v>517</v>
      </c>
      <c r="C159" s="255">
        <v>0.02</v>
      </c>
      <c r="D159" s="255">
        <f>ROUND((1+'Indicadores Financeiros'!$F$9)*(1+'Indicadores Financeiros'!$F$10)/(1-'Indicadores Financeiros'!$F$12-'Indicadores Financeiros'!$F$11-Tabela3[[#This Row],[ISS]])-1,4)</f>
        <v>0.27810000000000001</v>
      </c>
    </row>
    <row r="160" spans="1:4" x14ac:dyDescent="0.25">
      <c r="A160" s="254" t="s">
        <v>354</v>
      </c>
      <c r="B160" t="s">
        <v>518</v>
      </c>
      <c r="C160" s="255">
        <v>0.04</v>
      </c>
      <c r="D160" s="255">
        <f>ROUND((1+'Indicadores Financeiros'!$F$9)*(1+'Indicadores Financeiros'!$F$10)/(1-'Indicadores Financeiros'!$F$12-'Indicadores Financeiros'!$F$11-Tabela3[[#This Row],[ISS]])-1,4)</f>
        <v>0.3075</v>
      </c>
    </row>
    <row r="161" spans="1:4" x14ac:dyDescent="0.25">
      <c r="A161" s="254" t="s">
        <v>381</v>
      </c>
      <c r="B161" t="s">
        <v>519</v>
      </c>
      <c r="C161" s="255">
        <v>0.05</v>
      </c>
      <c r="D161" s="255">
        <f>ROUND((1+'Indicadores Financeiros'!$F$9)*(1+'Indicadores Financeiros'!$F$10)/(1-'Indicadores Financeiros'!$F$12-'Indicadores Financeiros'!$F$11-Tabela3[[#This Row],[ISS]])-1,4)</f>
        <v>0.32279999999999998</v>
      </c>
    </row>
    <row r="162" spans="1:4" x14ac:dyDescent="0.25">
      <c r="A162" s="254" t="s">
        <v>363</v>
      </c>
      <c r="B162" t="s">
        <v>520</v>
      </c>
      <c r="C162" s="255">
        <v>0.03</v>
      </c>
      <c r="D162" s="255">
        <f>ROUND((1+'Indicadores Financeiros'!$F$9)*(1+'Indicadores Financeiros'!$F$10)/(1-'Indicadores Financeiros'!$F$12-'Indicadores Financeiros'!$F$11-Tabela3[[#This Row],[ISS]])-1,4)</f>
        <v>0.29260000000000003</v>
      </c>
    </row>
    <row r="163" spans="1:4" x14ac:dyDescent="0.25">
      <c r="A163" s="254" t="s">
        <v>372</v>
      </c>
      <c r="B163" t="s">
        <v>521</v>
      </c>
      <c r="C163" s="255">
        <v>0.03</v>
      </c>
      <c r="D163" s="255">
        <f>ROUND((1+'Indicadores Financeiros'!$F$9)*(1+'Indicadores Financeiros'!$F$10)/(1-'Indicadores Financeiros'!$F$12-'Indicadores Financeiros'!$F$11-Tabela3[[#This Row],[ISS]])-1,4)</f>
        <v>0.29260000000000003</v>
      </c>
    </row>
    <row r="164" spans="1:4" x14ac:dyDescent="0.25">
      <c r="A164" s="254" t="s">
        <v>349</v>
      </c>
      <c r="B164" t="s">
        <v>522</v>
      </c>
      <c r="C164" s="255">
        <v>0.05</v>
      </c>
      <c r="D164" s="255">
        <f>ROUND((1+'Indicadores Financeiros'!$F$9)*(1+'Indicadores Financeiros'!$F$10)/(1-'Indicadores Financeiros'!$F$12-'Indicadores Financeiros'!$F$11-Tabela3[[#This Row],[ISS]])-1,4)</f>
        <v>0.32279999999999998</v>
      </c>
    </row>
    <row r="165" spans="1:4" x14ac:dyDescent="0.25">
      <c r="A165" s="254" t="s">
        <v>349</v>
      </c>
      <c r="B165" t="s">
        <v>523</v>
      </c>
      <c r="C165" s="255">
        <v>0.03</v>
      </c>
      <c r="D165" s="255">
        <f>ROUND((1+'Indicadores Financeiros'!$F$9)*(1+'Indicadores Financeiros'!$F$10)/(1-'Indicadores Financeiros'!$F$12-'Indicadores Financeiros'!$F$11-Tabela3[[#This Row],[ISS]])-1,4)</f>
        <v>0.29260000000000003</v>
      </c>
    </row>
    <row r="166" spans="1:4" x14ac:dyDescent="0.25">
      <c r="A166" s="254" t="s">
        <v>349</v>
      </c>
      <c r="B166" t="s">
        <v>524</v>
      </c>
      <c r="C166" s="255">
        <v>0.02</v>
      </c>
      <c r="D166" s="255">
        <f>ROUND((1+'Indicadores Financeiros'!$F$9)*(1+'Indicadores Financeiros'!$F$10)/(1-'Indicadores Financeiros'!$F$12-'Indicadores Financeiros'!$F$11-Tabela3[[#This Row],[ISS]])-1,4)</f>
        <v>0.27810000000000001</v>
      </c>
    </row>
    <row r="167" spans="1:4" x14ac:dyDescent="0.25">
      <c r="A167" s="254" t="s">
        <v>356</v>
      </c>
      <c r="B167" t="s">
        <v>525</v>
      </c>
      <c r="C167" s="255">
        <v>0.03</v>
      </c>
      <c r="D167" s="255">
        <f>ROUND((1+'Indicadores Financeiros'!$F$9)*(1+'Indicadores Financeiros'!$F$10)/(1-'Indicadores Financeiros'!$F$12-'Indicadores Financeiros'!$F$11-Tabela3[[#This Row],[ISS]])-1,4)</f>
        <v>0.29260000000000003</v>
      </c>
    </row>
    <row r="168" spans="1:4" x14ac:dyDescent="0.25">
      <c r="A168" s="254" t="s">
        <v>372</v>
      </c>
      <c r="B168" t="s">
        <v>526</v>
      </c>
      <c r="C168" s="255">
        <v>0.05</v>
      </c>
      <c r="D168" s="255">
        <f>ROUND((1+'Indicadores Financeiros'!$F$9)*(1+'Indicadores Financeiros'!$F$10)/(1-'Indicadores Financeiros'!$F$12-'Indicadores Financeiros'!$F$11-Tabela3[[#This Row],[ISS]])-1,4)</f>
        <v>0.32279999999999998</v>
      </c>
    </row>
    <row r="169" spans="1:4" x14ac:dyDescent="0.25">
      <c r="A169" s="254" t="s">
        <v>356</v>
      </c>
      <c r="B169" s="83" t="s">
        <v>527</v>
      </c>
      <c r="C169" s="255">
        <v>0</v>
      </c>
      <c r="D169" s="255">
        <f>ROUND((1+'Indicadores Financeiros'!$F$9)*(1+'Indicadores Financeiros'!$F$10)/(1-'Indicadores Financeiros'!$F$12-'Indicadores Financeiros'!$F$11-Tabela3[[#This Row],[ISS]])-1,4)</f>
        <v>0.24990000000000001</v>
      </c>
    </row>
    <row r="170" spans="1:4" x14ac:dyDescent="0.25">
      <c r="A170" s="254" t="s">
        <v>388</v>
      </c>
      <c r="B170" t="s">
        <v>528</v>
      </c>
      <c r="C170" s="255">
        <v>0.03</v>
      </c>
      <c r="D170" s="255">
        <f>ROUND((1+'Indicadores Financeiros'!$F$9)*(1+'Indicadores Financeiros'!$F$10)/(1-'Indicadores Financeiros'!$F$12-'Indicadores Financeiros'!$F$11-Tabela3[[#This Row],[ISS]])-1,4)</f>
        <v>0.29260000000000003</v>
      </c>
    </row>
    <row r="171" spans="1:4" x14ac:dyDescent="0.25">
      <c r="A171" s="254" t="s">
        <v>361</v>
      </c>
      <c r="B171" t="s">
        <v>529</v>
      </c>
      <c r="C171" s="255">
        <v>0.05</v>
      </c>
      <c r="D171" s="255">
        <f>ROUND((1+'Indicadores Financeiros'!$F$9)*(1+'Indicadores Financeiros'!$F$10)/(1-'Indicadores Financeiros'!$F$12-'Indicadores Financeiros'!$F$11-Tabela3[[#This Row],[ISS]])-1,4)</f>
        <v>0.32279999999999998</v>
      </c>
    </row>
    <row r="172" spans="1:4" x14ac:dyDescent="0.25">
      <c r="A172" s="254" t="s">
        <v>349</v>
      </c>
      <c r="B172" t="s">
        <v>530</v>
      </c>
      <c r="C172" s="255">
        <v>0.05</v>
      </c>
      <c r="D172" s="255">
        <f>ROUND((1+'Indicadores Financeiros'!$F$9)*(1+'Indicadores Financeiros'!$F$10)/(1-'Indicadores Financeiros'!$F$12-'Indicadores Financeiros'!$F$11-Tabela3[[#This Row],[ISS]])-1,4)</f>
        <v>0.32279999999999998</v>
      </c>
    </row>
    <row r="173" spans="1:4" x14ac:dyDescent="0.25">
      <c r="A173" s="254" t="s">
        <v>381</v>
      </c>
      <c r="B173" t="s">
        <v>531</v>
      </c>
      <c r="C173" s="255">
        <v>0.03</v>
      </c>
      <c r="D173" s="255">
        <f>ROUND((1+'Indicadores Financeiros'!$F$9)*(1+'Indicadores Financeiros'!$F$10)/(1-'Indicadores Financeiros'!$F$12-'Indicadores Financeiros'!$F$11-Tabela3[[#This Row],[ISS]])-1,4)</f>
        <v>0.29260000000000003</v>
      </c>
    </row>
    <row r="174" spans="1:4" x14ac:dyDescent="0.25">
      <c r="A174" s="254" t="s">
        <v>356</v>
      </c>
      <c r="B174" t="s">
        <v>532</v>
      </c>
      <c r="C174" s="255">
        <v>0.05</v>
      </c>
      <c r="D174" s="255">
        <f>ROUND((1+'Indicadores Financeiros'!$F$9)*(1+'Indicadores Financeiros'!$F$10)/(1-'Indicadores Financeiros'!$F$12-'Indicadores Financeiros'!$F$11-Tabela3[[#This Row],[ISS]])-1,4)</f>
        <v>0.32279999999999998</v>
      </c>
    </row>
    <row r="175" spans="1:4" x14ac:dyDescent="0.25">
      <c r="A175" s="254" t="s">
        <v>372</v>
      </c>
      <c r="B175" t="s">
        <v>533</v>
      </c>
      <c r="C175" s="255">
        <v>0.03</v>
      </c>
      <c r="D175" s="255">
        <f>ROUND((1+'Indicadores Financeiros'!$F$9)*(1+'Indicadores Financeiros'!$F$10)/(1-'Indicadores Financeiros'!$F$12-'Indicadores Financeiros'!$F$11-Tabela3[[#This Row],[ISS]])-1,4)</f>
        <v>0.29260000000000003</v>
      </c>
    </row>
    <row r="176" spans="1:4" x14ac:dyDescent="0.25">
      <c r="A176" s="254" t="s">
        <v>351</v>
      </c>
      <c r="B176" t="s">
        <v>534</v>
      </c>
      <c r="C176" s="255">
        <v>0.03</v>
      </c>
      <c r="D176" s="255">
        <f>ROUND((1+'Indicadores Financeiros'!$F$9)*(1+'Indicadores Financeiros'!$F$10)/(1-'Indicadores Financeiros'!$F$12-'Indicadores Financeiros'!$F$11-Tabela3[[#This Row],[ISS]])-1,4)</f>
        <v>0.29260000000000003</v>
      </c>
    </row>
    <row r="177" spans="1:4" x14ac:dyDescent="0.25">
      <c r="A177" s="254" t="s">
        <v>351</v>
      </c>
      <c r="B177" t="s">
        <v>535</v>
      </c>
      <c r="C177" s="255">
        <v>0.03</v>
      </c>
      <c r="D177" s="255">
        <f>ROUND((1+'Indicadores Financeiros'!$F$9)*(1+'Indicadores Financeiros'!$F$10)/(1-'Indicadores Financeiros'!$F$12-'Indicadores Financeiros'!$F$11-Tabela3[[#This Row],[ISS]])-1,4)</f>
        <v>0.29260000000000003</v>
      </c>
    </row>
    <row r="178" spans="1:4" x14ac:dyDescent="0.25">
      <c r="A178" s="254" t="s">
        <v>388</v>
      </c>
      <c r="B178" t="s">
        <v>536</v>
      </c>
      <c r="C178" s="255">
        <v>0.05</v>
      </c>
      <c r="D178" s="255">
        <f>ROUND((1+'Indicadores Financeiros'!$F$9)*(1+'Indicadores Financeiros'!$F$10)/(1-'Indicadores Financeiros'!$F$12-'Indicadores Financeiros'!$F$11-Tabela3[[#This Row],[ISS]])-1,4)</f>
        <v>0.32279999999999998</v>
      </c>
    </row>
    <row r="179" spans="1:4" x14ac:dyDescent="0.25">
      <c r="A179" s="254" t="s">
        <v>356</v>
      </c>
      <c r="B179" t="s">
        <v>537</v>
      </c>
      <c r="C179" s="255">
        <v>0.02</v>
      </c>
      <c r="D179" s="255">
        <f>ROUND((1+'Indicadores Financeiros'!$F$9)*(1+'Indicadores Financeiros'!$F$10)/(1-'Indicadores Financeiros'!$F$12-'Indicadores Financeiros'!$F$11-Tabela3[[#This Row],[ISS]])-1,4)</f>
        <v>0.27810000000000001</v>
      </c>
    </row>
    <row r="180" spans="1:4" x14ac:dyDescent="0.25">
      <c r="A180" s="254" t="s">
        <v>381</v>
      </c>
      <c r="B180" t="s">
        <v>538</v>
      </c>
      <c r="C180" s="255">
        <v>0.03</v>
      </c>
      <c r="D180" s="255">
        <f>ROUND((1+'Indicadores Financeiros'!$F$9)*(1+'Indicadores Financeiros'!$F$10)/(1-'Indicadores Financeiros'!$F$12-'Indicadores Financeiros'!$F$11-Tabela3[[#This Row],[ISS]])-1,4)</f>
        <v>0.29260000000000003</v>
      </c>
    </row>
    <row r="181" spans="1:4" x14ac:dyDescent="0.25">
      <c r="A181" s="254" t="s">
        <v>381</v>
      </c>
      <c r="B181" t="s">
        <v>539</v>
      </c>
      <c r="C181" s="255">
        <v>0.03</v>
      </c>
      <c r="D181" s="255">
        <f>ROUND((1+'Indicadores Financeiros'!$F$9)*(1+'Indicadores Financeiros'!$F$10)/(1-'Indicadores Financeiros'!$F$12-'Indicadores Financeiros'!$F$11-Tabela3[[#This Row],[ISS]])-1,4)</f>
        <v>0.29260000000000003</v>
      </c>
    </row>
    <row r="182" spans="1:4" x14ac:dyDescent="0.25">
      <c r="A182" s="254" t="s">
        <v>351</v>
      </c>
      <c r="B182" t="s">
        <v>540</v>
      </c>
      <c r="C182" s="255">
        <v>0.02</v>
      </c>
      <c r="D182" s="255">
        <f>ROUND((1+'Indicadores Financeiros'!$F$9)*(1+'Indicadores Financeiros'!$F$10)/(1-'Indicadores Financeiros'!$F$12-'Indicadores Financeiros'!$F$11-Tabela3[[#This Row],[ISS]])-1,4)</f>
        <v>0.27810000000000001</v>
      </c>
    </row>
    <row r="183" spans="1:4" x14ac:dyDescent="0.25">
      <c r="A183" s="254" t="s">
        <v>356</v>
      </c>
      <c r="B183" t="s">
        <v>541</v>
      </c>
      <c r="C183" s="255">
        <v>0.02</v>
      </c>
      <c r="D183" s="255">
        <f>ROUND((1+'Indicadores Financeiros'!$F$9)*(1+'Indicadores Financeiros'!$F$10)/(1-'Indicadores Financeiros'!$F$12-'Indicadores Financeiros'!$F$11-Tabela3[[#This Row],[ISS]])-1,4)</f>
        <v>0.27810000000000001</v>
      </c>
    </row>
    <row r="184" spans="1:4" x14ac:dyDescent="0.25">
      <c r="A184" s="254" t="s">
        <v>351</v>
      </c>
      <c r="B184" t="s">
        <v>542</v>
      </c>
      <c r="C184" s="255">
        <v>0.05</v>
      </c>
      <c r="D184" s="255">
        <f>ROUND((1+'Indicadores Financeiros'!$F$9)*(1+'Indicadores Financeiros'!$F$10)/(1-'Indicadores Financeiros'!$F$12-'Indicadores Financeiros'!$F$11-Tabela3[[#This Row],[ISS]])-1,4)</f>
        <v>0.32279999999999998</v>
      </c>
    </row>
    <row r="185" spans="1:4" x14ac:dyDescent="0.25">
      <c r="A185" s="254" t="s">
        <v>381</v>
      </c>
      <c r="B185" t="s">
        <v>543</v>
      </c>
      <c r="C185" s="255">
        <v>0.05</v>
      </c>
      <c r="D185" s="255">
        <f>ROUND((1+'Indicadores Financeiros'!$F$9)*(1+'Indicadores Financeiros'!$F$10)/(1-'Indicadores Financeiros'!$F$12-'Indicadores Financeiros'!$F$11-Tabela3[[#This Row],[ISS]])-1,4)</f>
        <v>0.32279999999999998</v>
      </c>
    </row>
    <row r="186" spans="1:4" x14ac:dyDescent="0.25">
      <c r="A186" s="254" t="s">
        <v>381</v>
      </c>
      <c r="B186" t="s">
        <v>544</v>
      </c>
      <c r="C186" s="255">
        <v>0.05</v>
      </c>
      <c r="D186" s="255">
        <f>ROUND((1+'Indicadores Financeiros'!$F$9)*(1+'Indicadores Financeiros'!$F$10)/(1-'Indicadores Financeiros'!$F$12-'Indicadores Financeiros'!$F$11-Tabela3[[#This Row],[ISS]])-1,4)</f>
        <v>0.32279999999999998</v>
      </c>
    </row>
    <row r="187" spans="1:4" x14ac:dyDescent="0.25">
      <c r="A187" s="254" t="s">
        <v>381</v>
      </c>
      <c r="B187" t="s">
        <v>545</v>
      </c>
      <c r="C187" s="255">
        <v>0.02</v>
      </c>
      <c r="D187" s="255">
        <f>ROUND((1+'Indicadores Financeiros'!$F$9)*(1+'Indicadores Financeiros'!$F$10)/(1-'Indicadores Financeiros'!$F$12-'Indicadores Financeiros'!$F$11-Tabela3[[#This Row],[ISS]])-1,4)</f>
        <v>0.27810000000000001</v>
      </c>
    </row>
    <row r="188" spans="1:4" x14ac:dyDescent="0.25">
      <c r="A188" s="254" t="s">
        <v>351</v>
      </c>
      <c r="B188" t="s">
        <v>546</v>
      </c>
      <c r="C188" s="255">
        <v>0.05</v>
      </c>
      <c r="D188" s="255">
        <f>ROUND((1+'Indicadores Financeiros'!$F$9)*(1+'Indicadores Financeiros'!$F$10)/(1-'Indicadores Financeiros'!$F$12-'Indicadores Financeiros'!$F$11-Tabela3[[#This Row],[ISS]])-1,4)</f>
        <v>0.32279999999999998</v>
      </c>
    </row>
    <row r="189" spans="1:4" x14ac:dyDescent="0.25">
      <c r="A189" s="254" t="s">
        <v>381</v>
      </c>
      <c r="B189" t="s">
        <v>547</v>
      </c>
      <c r="C189" s="255">
        <v>0.03</v>
      </c>
      <c r="D189" s="255">
        <f>ROUND((1+'Indicadores Financeiros'!$F$9)*(1+'Indicadores Financeiros'!$F$10)/(1-'Indicadores Financeiros'!$F$12-'Indicadores Financeiros'!$F$11-Tabela3[[#This Row],[ISS]])-1,4)</f>
        <v>0.29260000000000003</v>
      </c>
    </row>
    <row r="190" spans="1:4" x14ac:dyDescent="0.25">
      <c r="A190" s="254" t="s">
        <v>356</v>
      </c>
      <c r="B190" t="s">
        <v>548</v>
      </c>
      <c r="C190" s="255">
        <v>0.05</v>
      </c>
      <c r="D190" s="255">
        <f>ROUND((1+'Indicadores Financeiros'!$F$9)*(1+'Indicadores Financeiros'!$F$10)/(1-'Indicadores Financeiros'!$F$12-'Indicadores Financeiros'!$F$11-Tabela3[[#This Row],[ISS]])-1,4)</f>
        <v>0.32279999999999998</v>
      </c>
    </row>
    <row r="191" spans="1:4" x14ac:dyDescent="0.25">
      <c r="A191" s="254" t="s">
        <v>381</v>
      </c>
      <c r="B191" t="s">
        <v>549</v>
      </c>
      <c r="C191" s="255">
        <v>0.04</v>
      </c>
      <c r="D191" s="255">
        <f>ROUND((1+'Indicadores Financeiros'!$F$9)*(1+'Indicadores Financeiros'!$F$10)/(1-'Indicadores Financeiros'!$F$12-'Indicadores Financeiros'!$F$11-Tabela3[[#This Row],[ISS]])-1,4)</f>
        <v>0.3075</v>
      </c>
    </row>
    <row r="192" spans="1:4" x14ac:dyDescent="0.25">
      <c r="A192" s="254" t="s">
        <v>356</v>
      </c>
      <c r="B192" t="s">
        <v>550</v>
      </c>
      <c r="C192" s="255">
        <v>0.02</v>
      </c>
      <c r="D192" s="255">
        <f>ROUND((1+'Indicadores Financeiros'!$F$9)*(1+'Indicadores Financeiros'!$F$10)/(1-'Indicadores Financeiros'!$F$12-'Indicadores Financeiros'!$F$11-Tabela3[[#This Row],[ISS]])-1,4)</f>
        <v>0.27810000000000001</v>
      </c>
    </row>
    <row r="193" spans="1:4" x14ac:dyDescent="0.25">
      <c r="A193" s="254" t="s">
        <v>372</v>
      </c>
      <c r="B193" t="s">
        <v>551</v>
      </c>
      <c r="C193" s="255">
        <v>0.05</v>
      </c>
      <c r="D193" s="255">
        <f>ROUND((1+'Indicadores Financeiros'!$F$9)*(1+'Indicadores Financeiros'!$F$10)/(1-'Indicadores Financeiros'!$F$12-'Indicadores Financeiros'!$F$11-Tabela3[[#This Row],[ISS]])-1,4)</f>
        <v>0.32279999999999998</v>
      </c>
    </row>
    <row r="194" spans="1:4" x14ac:dyDescent="0.25">
      <c r="A194" s="254" t="s">
        <v>349</v>
      </c>
      <c r="B194" t="s">
        <v>552</v>
      </c>
      <c r="C194" s="255">
        <v>0.03</v>
      </c>
      <c r="D194" s="255">
        <f>ROUND((1+'Indicadores Financeiros'!$F$9)*(1+'Indicadores Financeiros'!$F$10)/(1-'Indicadores Financeiros'!$F$12-'Indicadores Financeiros'!$F$11-Tabela3[[#This Row],[ISS]])-1,4)</f>
        <v>0.29260000000000003</v>
      </c>
    </row>
    <row r="195" spans="1:4" x14ac:dyDescent="0.25">
      <c r="A195" s="254" t="s">
        <v>354</v>
      </c>
      <c r="B195" t="s">
        <v>553</v>
      </c>
      <c r="C195" s="255">
        <v>0.05</v>
      </c>
      <c r="D195" s="255">
        <f>ROUND((1+'Indicadores Financeiros'!$F$9)*(1+'Indicadores Financeiros'!$F$10)/(1-'Indicadores Financeiros'!$F$12-'Indicadores Financeiros'!$F$11-Tabela3[[#This Row],[ISS]])-1,4)</f>
        <v>0.32279999999999998</v>
      </c>
    </row>
    <row r="196" spans="1:4" x14ac:dyDescent="0.25">
      <c r="A196" s="254" t="s">
        <v>381</v>
      </c>
      <c r="B196" t="s">
        <v>554</v>
      </c>
      <c r="C196" s="255">
        <v>0.05</v>
      </c>
      <c r="D196" s="255">
        <f>ROUND((1+'Indicadores Financeiros'!$F$9)*(1+'Indicadores Financeiros'!$F$10)/(1-'Indicadores Financeiros'!$F$12-'Indicadores Financeiros'!$F$11-Tabela3[[#This Row],[ISS]])-1,4)</f>
        <v>0.32279999999999998</v>
      </c>
    </row>
    <row r="197" spans="1:4" x14ac:dyDescent="0.25">
      <c r="A197" s="254" t="s">
        <v>349</v>
      </c>
      <c r="B197" t="s">
        <v>555</v>
      </c>
      <c r="C197" s="255">
        <v>0.03</v>
      </c>
      <c r="D197" s="255">
        <f>ROUND((1+'Indicadores Financeiros'!$F$9)*(1+'Indicadores Financeiros'!$F$10)/(1-'Indicadores Financeiros'!$F$12-'Indicadores Financeiros'!$F$11-Tabela3[[#This Row],[ISS]])-1,4)</f>
        <v>0.29260000000000003</v>
      </c>
    </row>
    <row r="198" spans="1:4" x14ac:dyDescent="0.25">
      <c r="A198" s="254" t="s">
        <v>381</v>
      </c>
      <c r="B198" t="s">
        <v>556</v>
      </c>
      <c r="C198" s="255">
        <v>0.05</v>
      </c>
      <c r="D198" s="255">
        <f>ROUND((1+'Indicadores Financeiros'!$F$9)*(1+'Indicadores Financeiros'!$F$10)/(1-'Indicadores Financeiros'!$F$12-'Indicadores Financeiros'!$F$11-Tabela3[[#This Row],[ISS]])-1,4)</f>
        <v>0.32279999999999998</v>
      </c>
    </row>
    <row r="199" spans="1:4" x14ac:dyDescent="0.25">
      <c r="A199" s="254" t="s">
        <v>361</v>
      </c>
      <c r="B199" t="s">
        <v>557</v>
      </c>
      <c r="C199" s="255">
        <v>0.05</v>
      </c>
      <c r="D199" s="255">
        <f>ROUND((1+'Indicadores Financeiros'!$F$9)*(1+'Indicadores Financeiros'!$F$10)/(1-'Indicadores Financeiros'!$F$12-'Indicadores Financeiros'!$F$11-Tabela3[[#This Row],[ISS]])-1,4)</f>
        <v>0.32279999999999998</v>
      </c>
    </row>
    <row r="200" spans="1:4" x14ac:dyDescent="0.25">
      <c r="A200" s="254" t="s">
        <v>349</v>
      </c>
      <c r="B200" t="s">
        <v>558</v>
      </c>
      <c r="C200" s="255">
        <v>0.03</v>
      </c>
      <c r="D200" s="255">
        <f>ROUND((1+'Indicadores Financeiros'!$F$9)*(1+'Indicadores Financeiros'!$F$10)/(1-'Indicadores Financeiros'!$F$12-'Indicadores Financeiros'!$F$11-Tabela3[[#This Row],[ISS]])-1,4)</f>
        <v>0.29260000000000003</v>
      </c>
    </row>
    <row r="201" spans="1:4" x14ac:dyDescent="0.25">
      <c r="A201" s="254" t="s">
        <v>349</v>
      </c>
      <c r="B201" t="s">
        <v>559</v>
      </c>
      <c r="C201" s="255">
        <v>0.03</v>
      </c>
      <c r="D201" s="255">
        <f>ROUND((1+'Indicadores Financeiros'!$F$9)*(1+'Indicadores Financeiros'!$F$10)/(1-'Indicadores Financeiros'!$F$12-'Indicadores Financeiros'!$F$11-Tabela3[[#This Row],[ISS]])-1,4)</f>
        <v>0.29260000000000003</v>
      </c>
    </row>
    <row r="202" spans="1:4" x14ac:dyDescent="0.25">
      <c r="A202" s="254" t="s">
        <v>349</v>
      </c>
      <c r="B202" t="s">
        <v>560</v>
      </c>
      <c r="C202" s="255">
        <v>0.05</v>
      </c>
      <c r="D202" s="255">
        <f>ROUND((1+'Indicadores Financeiros'!$F$9)*(1+'Indicadores Financeiros'!$F$10)/(1-'Indicadores Financeiros'!$F$12-'Indicadores Financeiros'!$F$11-Tabela3[[#This Row],[ISS]])-1,4)</f>
        <v>0.32279999999999998</v>
      </c>
    </row>
    <row r="203" spans="1:4" x14ac:dyDescent="0.25">
      <c r="A203" s="254" t="s">
        <v>365</v>
      </c>
      <c r="B203" t="s">
        <v>561</v>
      </c>
      <c r="C203" s="255">
        <v>0.03</v>
      </c>
      <c r="D203" s="255">
        <f>ROUND((1+'Indicadores Financeiros'!$F$9)*(1+'Indicadores Financeiros'!$F$10)/(1-'Indicadores Financeiros'!$F$12-'Indicadores Financeiros'!$F$11-Tabela3[[#This Row],[ISS]])-1,4)</f>
        <v>0.29260000000000003</v>
      </c>
    </row>
    <row r="204" spans="1:4" x14ac:dyDescent="0.25">
      <c r="A204" s="254" t="s">
        <v>354</v>
      </c>
      <c r="B204" t="s">
        <v>562</v>
      </c>
      <c r="C204" s="255">
        <v>0.05</v>
      </c>
      <c r="D204" s="255">
        <f>ROUND((1+'Indicadores Financeiros'!$F$9)*(1+'Indicadores Financeiros'!$F$10)/(1-'Indicadores Financeiros'!$F$12-'Indicadores Financeiros'!$F$11-Tabela3[[#This Row],[ISS]])-1,4)</f>
        <v>0.32279999999999998</v>
      </c>
    </row>
    <row r="205" spans="1:4" x14ac:dyDescent="0.25">
      <c r="A205" s="254" t="s">
        <v>388</v>
      </c>
      <c r="B205" t="s">
        <v>563</v>
      </c>
      <c r="C205" s="255">
        <v>0.03</v>
      </c>
      <c r="D205" s="255">
        <f>ROUND((1+'Indicadores Financeiros'!$F$9)*(1+'Indicadores Financeiros'!$F$10)/(1-'Indicadores Financeiros'!$F$12-'Indicadores Financeiros'!$F$11-Tabela3[[#This Row],[ISS]])-1,4)</f>
        <v>0.29260000000000003</v>
      </c>
    </row>
    <row r="206" spans="1:4" x14ac:dyDescent="0.25">
      <c r="A206" s="254" t="s">
        <v>356</v>
      </c>
      <c r="B206" t="s">
        <v>564</v>
      </c>
      <c r="C206" s="255">
        <v>0.05</v>
      </c>
      <c r="D206" s="255">
        <f>ROUND((1+'Indicadores Financeiros'!$F$9)*(1+'Indicadores Financeiros'!$F$10)/(1-'Indicadores Financeiros'!$F$12-'Indicadores Financeiros'!$F$11-Tabela3[[#This Row],[ISS]])-1,4)</f>
        <v>0.32279999999999998</v>
      </c>
    </row>
    <row r="207" spans="1:4" x14ac:dyDescent="0.25">
      <c r="A207" s="254" t="s">
        <v>351</v>
      </c>
      <c r="B207" t="s">
        <v>565</v>
      </c>
      <c r="C207" s="255">
        <v>0.05</v>
      </c>
      <c r="D207" s="255">
        <f>ROUND((1+'Indicadores Financeiros'!$F$9)*(1+'Indicadores Financeiros'!$F$10)/(1-'Indicadores Financeiros'!$F$12-'Indicadores Financeiros'!$F$11-Tabela3[[#This Row],[ISS]])-1,4)</f>
        <v>0.32279999999999998</v>
      </c>
    </row>
    <row r="208" spans="1:4" x14ac:dyDescent="0.25">
      <c r="A208" s="254" t="s">
        <v>381</v>
      </c>
      <c r="B208" t="s">
        <v>566</v>
      </c>
      <c r="C208" s="255">
        <v>0.05</v>
      </c>
      <c r="D208" s="255">
        <f>ROUND((1+'Indicadores Financeiros'!$F$9)*(1+'Indicadores Financeiros'!$F$10)/(1-'Indicadores Financeiros'!$F$12-'Indicadores Financeiros'!$F$11-Tabela3[[#This Row],[ISS]])-1,4)</f>
        <v>0.32279999999999998</v>
      </c>
    </row>
    <row r="209" spans="1:5" x14ac:dyDescent="0.25">
      <c r="A209" s="254" t="s">
        <v>354</v>
      </c>
      <c r="B209" t="s">
        <v>567</v>
      </c>
      <c r="C209" s="255">
        <v>0.02</v>
      </c>
      <c r="D209" s="255">
        <f>ROUND((1+'Indicadores Financeiros'!$F$9)*(1+'Indicadores Financeiros'!$F$10)/(1-'Indicadores Financeiros'!$F$12-'Indicadores Financeiros'!$F$11-Tabela3[[#This Row],[ISS]])-1,4)</f>
        <v>0.27810000000000001</v>
      </c>
    </row>
    <row r="210" spans="1:5" x14ac:dyDescent="0.25">
      <c r="A210" s="254" t="s">
        <v>356</v>
      </c>
      <c r="B210" t="s">
        <v>568</v>
      </c>
      <c r="C210" s="255">
        <v>0.03</v>
      </c>
      <c r="D210" s="255">
        <f>ROUND((1+'Indicadores Financeiros'!$F$9)*(1+'Indicadores Financeiros'!$F$10)/(1-'Indicadores Financeiros'!$F$12-'Indicadores Financeiros'!$F$11-Tabela3[[#This Row],[ISS]])-1,4)</f>
        <v>0.29260000000000003</v>
      </c>
    </row>
    <row r="211" spans="1:5" x14ac:dyDescent="0.25">
      <c r="A211" s="254" t="s">
        <v>351</v>
      </c>
      <c r="B211" t="s">
        <v>569</v>
      </c>
      <c r="C211" s="255">
        <v>0.05</v>
      </c>
      <c r="D211" s="255">
        <f>ROUND((1+'Indicadores Financeiros'!$F$9)*(1+'Indicadores Financeiros'!$F$10)/(1-'Indicadores Financeiros'!$F$12-'Indicadores Financeiros'!$F$11-Tabela3[[#This Row],[ISS]])-1,4)</f>
        <v>0.32279999999999998</v>
      </c>
    </row>
    <row r="212" spans="1:5" x14ac:dyDescent="0.25">
      <c r="A212" s="254" t="s">
        <v>361</v>
      </c>
      <c r="B212" t="s">
        <v>570</v>
      </c>
      <c r="C212" s="255">
        <v>0.03</v>
      </c>
      <c r="D212" s="255">
        <f>ROUND((1+'Indicadores Financeiros'!$F$9)*(1+'Indicadores Financeiros'!$F$10)/(1-'Indicadores Financeiros'!$F$12-'Indicadores Financeiros'!$F$11-Tabela3[[#This Row],[ISS]])-1,4)</f>
        <v>0.29260000000000003</v>
      </c>
      <c r="E212" t="s">
        <v>571</v>
      </c>
    </row>
    <row r="213" spans="1:5" x14ac:dyDescent="0.25">
      <c r="A213" s="254" t="s">
        <v>361</v>
      </c>
      <c r="B213" t="s">
        <v>572</v>
      </c>
      <c r="C213" s="255">
        <v>0.03</v>
      </c>
      <c r="D213" s="255">
        <f>ROUND((1+'Indicadores Financeiros'!$F$9)*(1+'Indicadores Financeiros'!$F$10)/(1-'Indicadores Financeiros'!$F$12-'Indicadores Financeiros'!$F$11-Tabela3[[#This Row],[ISS]])-1,4)</f>
        <v>0.29260000000000003</v>
      </c>
    </row>
    <row r="214" spans="1:5" x14ac:dyDescent="0.25">
      <c r="A214" s="254" t="s">
        <v>388</v>
      </c>
      <c r="B214" t="s">
        <v>573</v>
      </c>
      <c r="C214" s="255">
        <v>0.02</v>
      </c>
      <c r="D214" s="255">
        <f>ROUND((1+'Indicadores Financeiros'!$F$9)*(1+'Indicadores Financeiros'!$F$10)/(1-'Indicadores Financeiros'!$F$12-'Indicadores Financeiros'!$F$11-Tabela3[[#This Row],[ISS]])-1,4)</f>
        <v>0.27810000000000001</v>
      </c>
    </row>
    <row r="215" spans="1:5" x14ac:dyDescent="0.25">
      <c r="A215" s="254" t="s">
        <v>363</v>
      </c>
      <c r="B215" t="s">
        <v>574</v>
      </c>
      <c r="C215" s="255">
        <v>0.02</v>
      </c>
      <c r="D215" s="255">
        <f>ROUND((1+'Indicadores Financeiros'!$F$9)*(1+'Indicadores Financeiros'!$F$10)/(1-'Indicadores Financeiros'!$F$12-'Indicadores Financeiros'!$F$11-Tabela3[[#This Row],[ISS]])-1,4)</f>
        <v>0.27810000000000001</v>
      </c>
    </row>
    <row r="216" spans="1:5" x14ac:dyDescent="0.25">
      <c r="A216" s="254" t="s">
        <v>363</v>
      </c>
      <c r="B216" t="s">
        <v>575</v>
      </c>
      <c r="C216" s="255">
        <v>0.03</v>
      </c>
      <c r="D216" s="255">
        <f>ROUND((1+'Indicadores Financeiros'!$F$9)*(1+'Indicadores Financeiros'!$F$10)/(1-'Indicadores Financeiros'!$F$12-'Indicadores Financeiros'!$F$11-Tabela3[[#This Row],[ISS]])-1,4)</f>
        <v>0.29260000000000003</v>
      </c>
    </row>
    <row r="217" spans="1:5" x14ac:dyDescent="0.25">
      <c r="A217" s="254" t="s">
        <v>365</v>
      </c>
      <c r="B217" t="s">
        <v>576</v>
      </c>
      <c r="C217" s="255">
        <v>0.05</v>
      </c>
      <c r="D217" s="255">
        <f>ROUND((1+'Indicadores Financeiros'!$F$9)*(1+'Indicadores Financeiros'!$F$10)/(1-'Indicadores Financeiros'!$F$12-'Indicadores Financeiros'!$F$11-Tabela3[[#This Row],[ISS]])-1,4)</f>
        <v>0.32279999999999998</v>
      </c>
    </row>
    <row r="218" spans="1:5" x14ac:dyDescent="0.25">
      <c r="A218" s="254" t="s">
        <v>351</v>
      </c>
      <c r="B218" t="s">
        <v>577</v>
      </c>
      <c r="C218" s="255">
        <v>0.05</v>
      </c>
      <c r="D218" s="255">
        <f>ROUND((1+'Indicadores Financeiros'!$F$9)*(1+'Indicadores Financeiros'!$F$10)/(1-'Indicadores Financeiros'!$F$12-'Indicadores Financeiros'!$F$11-Tabela3[[#This Row],[ISS]])-1,4)</f>
        <v>0.32279999999999998</v>
      </c>
    </row>
    <row r="219" spans="1:5" x14ac:dyDescent="0.25">
      <c r="A219" s="254" t="s">
        <v>365</v>
      </c>
      <c r="B219" t="s">
        <v>578</v>
      </c>
      <c r="C219" s="255">
        <v>0.05</v>
      </c>
      <c r="D219" s="255">
        <f>ROUND((1+'Indicadores Financeiros'!$F$9)*(1+'Indicadores Financeiros'!$F$10)/(1-'Indicadores Financeiros'!$F$12-'Indicadores Financeiros'!$F$11-Tabela3[[#This Row],[ISS]])-1,4)</f>
        <v>0.32279999999999998</v>
      </c>
    </row>
    <row r="220" spans="1:5" x14ac:dyDescent="0.25">
      <c r="A220" s="254" t="s">
        <v>351</v>
      </c>
      <c r="B220" t="s">
        <v>579</v>
      </c>
      <c r="C220" s="255">
        <v>0.04</v>
      </c>
      <c r="D220" s="255">
        <f>ROUND((1+'Indicadores Financeiros'!$F$9)*(1+'Indicadores Financeiros'!$F$10)/(1-'Indicadores Financeiros'!$F$12-'Indicadores Financeiros'!$F$11-Tabela3[[#This Row],[ISS]])-1,4)</f>
        <v>0.3075</v>
      </c>
    </row>
    <row r="221" spans="1:5" x14ac:dyDescent="0.25">
      <c r="A221" s="254" t="s">
        <v>351</v>
      </c>
      <c r="B221" t="s">
        <v>580</v>
      </c>
      <c r="C221" s="255">
        <v>0.05</v>
      </c>
      <c r="D221" s="255">
        <f>ROUND((1+'Indicadores Financeiros'!$F$9)*(1+'Indicadores Financeiros'!$F$10)/(1-'Indicadores Financeiros'!$F$12-'Indicadores Financeiros'!$F$11-Tabela3[[#This Row],[ISS]])-1,4)</f>
        <v>0.32279999999999998</v>
      </c>
    </row>
    <row r="222" spans="1:5" x14ac:dyDescent="0.25">
      <c r="A222" s="254" t="s">
        <v>354</v>
      </c>
      <c r="B222" t="s">
        <v>581</v>
      </c>
      <c r="C222" s="255">
        <v>0.03</v>
      </c>
      <c r="D222" s="255">
        <f>ROUND((1+'Indicadores Financeiros'!$F$9)*(1+'Indicadores Financeiros'!$F$10)/(1-'Indicadores Financeiros'!$F$12-'Indicadores Financeiros'!$F$11-Tabela3[[#This Row],[ISS]])-1,4)</f>
        <v>0.29260000000000003</v>
      </c>
    </row>
    <row r="223" spans="1:5" x14ac:dyDescent="0.25">
      <c r="A223" s="254" t="s">
        <v>354</v>
      </c>
      <c r="B223" t="s">
        <v>582</v>
      </c>
      <c r="C223" s="255">
        <v>0.05</v>
      </c>
      <c r="D223" s="255">
        <f>ROUND((1+'Indicadores Financeiros'!$F$9)*(1+'Indicadores Financeiros'!$F$10)/(1-'Indicadores Financeiros'!$F$12-'Indicadores Financeiros'!$F$11-Tabela3[[#This Row],[ISS]])-1,4)</f>
        <v>0.32279999999999998</v>
      </c>
    </row>
    <row r="224" spans="1:5" x14ac:dyDescent="0.25">
      <c r="A224" s="254" t="s">
        <v>356</v>
      </c>
      <c r="B224" t="s">
        <v>583</v>
      </c>
      <c r="C224" s="255">
        <v>0.05</v>
      </c>
      <c r="D224" s="255">
        <f>ROUND((1+'Indicadores Financeiros'!$F$9)*(1+'Indicadores Financeiros'!$F$10)/(1-'Indicadores Financeiros'!$F$12-'Indicadores Financeiros'!$F$11-Tabela3[[#This Row],[ISS]])-1,4)</f>
        <v>0.32279999999999998</v>
      </c>
    </row>
    <row r="225" spans="1:5" x14ac:dyDescent="0.25">
      <c r="A225" s="254" t="s">
        <v>349</v>
      </c>
      <c r="B225" t="s">
        <v>584</v>
      </c>
      <c r="C225" s="255">
        <v>0.03</v>
      </c>
      <c r="D225" s="255">
        <f>ROUND((1+'Indicadores Financeiros'!$F$9)*(1+'Indicadores Financeiros'!$F$10)/(1-'Indicadores Financeiros'!$F$12-'Indicadores Financeiros'!$F$11-Tabela3[[#This Row],[ISS]])-1,4)</f>
        <v>0.29260000000000003</v>
      </c>
    </row>
    <row r="226" spans="1:5" x14ac:dyDescent="0.25">
      <c r="A226" s="254" t="s">
        <v>351</v>
      </c>
      <c r="B226" t="s">
        <v>585</v>
      </c>
      <c r="C226" s="255">
        <v>0.03</v>
      </c>
      <c r="D226" s="255">
        <f>ROUND((1+'Indicadores Financeiros'!$F$9)*(1+'Indicadores Financeiros'!$F$10)/(1-'Indicadores Financeiros'!$F$12-'Indicadores Financeiros'!$F$11-Tabela3[[#This Row],[ISS]])-1,4)</f>
        <v>0.29260000000000003</v>
      </c>
    </row>
    <row r="227" spans="1:5" x14ac:dyDescent="0.25">
      <c r="A227" s="254" t="s">
        <v>354</v>
      </c>
      <c r="B227" t="s">
        <v>586</v>
      </c>
      <c r="C227" s="255">
        <v>0.03</v>
      </c>
      <c r="D227" s="255">
        <f>ROUND((1+'Indicadores Financeiros'!$F$9)*(1+'Indicadores Financeiros'!$F$10)/(1-'Indicadores Financeiros'!$F$12-'Indicadores Financeiros'!$F$11-Tabela3[[#This Row],[ISS]])-1,4)</f>
        <v>0.29260000000000003</v>
      </c>
    </row>
    <row r="228" spans="1:5" x14ac:dyDescent="0.25">
      <c r="A228" s="254" t="s">
        <v>356</v>
      </c>
      <c r="B228" t="s">
        <v>587</v>
      </c>
      <c r="C228" s="255">
        <v>0.05</v>
      </c>
      <c r="D228" s="255">
        <f>ROUND((1+'Indicadores Financeiros'!$F$9)*(1+'Indicadores Financeiros'!$F$10)/(1-'Indicadores Financeiros'!$F$12-'Indicadores Financeiros'!$F$11-Tabela3[[#This Row],[ISS]])-1,4)</f>
        <v>0.32279999999999998</v>
      </c>
    </row>
    <row r="229" spans="1:5" x14ac:dyDescent="0.25">
      <c r="A229" s="254" t="s">
        <v>372</v>
      </c>
      <c r="B229" t="s">
        <v>588</v>
      </c>
      <c r="C229" s="255">
        <v>0.02</v>
      </c>
      <c r="D229" s="255">
        <f>ROUND((1+'Indicadores Financeiros'!$F$9)*(1+'Indicadores Financeiros'!$F$10)/(1-'Indicadores Financeiros'!$F$12-'Indicadores Financeiros'!$F$11-Tabela3[[#This Row],[ISS]])-1,4)</f>
        <v>0.27810000000000001</v>
      </c>
    </row>
    <row r="230" spans="1:5" x14ac:dyDescent="0.25">
      <c r="A230" s="254" t="s">
        <v>349</v>
      </c>
      <c r="B230" t="s">
        <v>589</v>
      </c>
      <c r="C230" s="255">
        <v>0.02</v>
      </c>
      <c r="D230" s="255">
        <f>ROUND((1+'Indicadores Financeiros'!$F$9)*(1+'Indicadores Financeiros'!$F$10)/(1-'Indicadores Financeiros'!$F$12-'Indicadores Financeiros'!$F$11-Tabela3[[#This Row],[ISS]])-1,4)</f>
        <v>0.27810000000000001</v>
      </c>
    </row>
    <row r="231" spans="1:5" x14ac:dyDescent="0.25">
      <c r="A231" s="254" t="s">
        <v>356</v>
      </c>
      <c r="B231" t="s">
        <v>590</v>
      </c>
      <c r="C231" s="255">
        <v>0.03</v>
      </c>
      <c r="D231" s="255">
        <f>ROUND((1+'Indicadores Financeiros'!$F$9)*(1+'Indicadores Financeiros'!$F$10)/(1-'Indicadores Financeiros'!$F$12-'Indicadores Financeiros'!$F$11-Tabela3[[#This Row],[ISS]])-1,4)</f>
        <v>0.29260000000000003</v>
      </c>
    </row>
    <row r="232" spans="1:5" x14ac:dyDescent="0.25">
      <c r="A232" s="254" t="s">
        <v>363</v>
      </c>
      <c r="B232" t="s">
        <v>591</v>
      </c>
      <c r="C232" s="255">
        <v>0.05</v>
      </c>
      <c r="D232" s="255">
        <f>ROUND((1+'Indicadores Financeiros'!$F$9)*(1+'Indicadores Financeiros'!$F$10)/(1-'Indicadores Financeiros'!$F$12-'Indicadores Financeiros'!$F$11-Tabela3[[#This Row],[ISS]])-1,4)</f>
        <v>0.32279999999999998</v>
      </c>
    </row>
    <row r="233" spans="1:5" x14ac:dyDescent="0.25">
      <c r="A233" s="254" t="s">
        <v>363</v>
      </c>
      <c r="B233" t="s">
        <v>592</v>
      </c>
      <c r="C233" s="255">
        <v>0.03</v>
      </c>
      <c r="D233" s="255">
        <f>ROUND((1+'Indicadores Financeiros'!$F$9)*(1+'Indicadores Financeiros'!$F$10)/(1-'Indicadores Financeiros'!$F$12-'Indicadores Financeiros'!$F$11-Tabela3[[#This Row],[ISS]])-1,4)</f>
        <v>0.29260000000000003</v>
      </c>
    </row>
    <row r="234" spans="1:5" x14ac:dyDescent="0.25">
      <c r="A234" s="254" t="s">
        <v>351</v>
      </c>
      <c r="B234" t="s">
        <v>593</v>
      </c>
      <c r="C234" s="255">
        <v>0.05</v>
      </c>
      <c r="D234" s="255">
        <f>ROUND((1+'Indicadores Financeiros'!$F$9)*(1+'Indicadores Financeiros'!$F$10)/(1-'Indicadores Financeiros'!$F$12-'Indicadores Financeiros'!$F$11-Tabela3[[#This Row],[ISS]])-1,4)</f>
        <v>0.32279999999999998</v>
      </c>
    </row>
    <row r="235" spans="1:5" x14ac:dyDescent="0.25">
      <c r="A235" s="254" t="s">
        <v>381</v>
      </c>
      <c r="B235" t="s">
        <v>594</v>
      </c>
      <c r="C235" s="255">
        <v>0.03</v>
      </c>
      <c r="D235" s="255">
        <f>ROUND((1+'Indicadores Financeiros'!$F$9)*(1+'Indicadores Financeiros'!$F$10)/(1-'Indicadores Financeiros'!$F$12-'Indicadores Financeiros'!$F$11-Tabela3[[#This Row],[ISS]])-1,4)</f>
        <v>0.29260000000000003</v>
      </c>
      <c r="E235" t="s">
        <v>595</v>
      </c>
    </row>
    <row r="236" spans="1:5" x14ac:dyDescent="0.25">
      <c r="A236" s="254" t="s">
        <v>388</v>
      </c>
      <c r="B236" t="s">
        <v>596</v>
      </c>
      <c r="C236" s="255">
        <v>0.03</v>
      </c>
      <c r="D236" s="255">
        <f>ROUND((1+'Indicadores Financeiros'!$F$9)*(1+'Indicadores Financeiros'!$F$10)/(1-'Indicadores Financeiros'!$F$12-'Indicadores Financeiros'!$F$11-Tabela3[[#This Row],[ISS]])-1,4)</f>
        <v>0.29260000000000003</v>
      </c>
    </row>
    <row r="237" spans="1:5" x14ac:dyDescent="0.25">
      <c r="A237" s="254" t="s">
        <v>349</v>
      </c>
      <c r="B237" t="s">
        <v>597</v>
      </c>
      <c r="C237" s="255">
        <v>0.05</v>
      </c>
      <c r="D237" s="255">
        <f>ROUND((1+'Indicadores Financeiros'!$F$9)*(1+'Indicadores Financeiros'!$F$10)/(1-'Indicadores Financeiros'!$F$12-'Indicadores Financeiros'!$F$11-Tabela3[[#This Row],[ISS]])-1,4)</f>
        <v>0.32279999999999998</v>
      </c>
    </row>
    <row r="238" spans="1:5" x14ac:dyDescent="0.25">
      <c r="A238" s="254" t="s">
        <v>349</v>
      </c>
      <c r="B238" t="s">
        <v>598</v>
      </c>
      <c r="C238" s="255">
        <v>0.05</v>
      </c>
      <c r="D238" s="255">
        <f>ROUND((1+'Indicadores Financeiros'!$F$9)*(1+'Indicadores Financeiros'!$F$10)/(1-'Indicadores Financeiros'!$F$12-'Indicadores Financeiros'!$F$11-Tabela3[[#This Row],[ISS]])-1,4)</f>
        <v>0.32279999999999998</v>
      </c>
    </row>
    <row r="239" spans="1:5" x14ac:dyDescent="0.25">
      <c r="A239" s="254" t="s">
        <v>349</v>
      </c>
      <c r="B239" t="s">
        <v>599</v>
      </c>
      <c r="C239" s="255">
        <v>0.05</v>
      </c>
      <c r="D239" s="255">
        <f>ROUND((1+'Indicadores Financeiros'!$F$9)*(1+'Indicadores Financeiros'!$F$10)/(1-'Indicadores Financeiros'!$F$12-'Indicadores Financeiros'!$F$11-Tabela3[[#This Row],[ISS]])-1,4)</f>
        <v>0.32279999999999998</v>
      </c>
    </row>
    <row r="240" spans="1:5" x14ac:dyDescent="0.25">
      <c r="A240" s="254" t="s">
        <v>349</v>
      </c>
      <c r="B240" t="s">
        <v>600</v>
      </c>
      <c r="C240" s="255">
        <v>0.04</v>
      </c>
      <c r="D240" s="255">
        <f>ROUND((1+'Indicadores Financeiros'!$F$9)*(1+'Indicadores Financeiros'!$F$10)/(1-'Indicadores Financeiros'!$F$12-'Indicadores Financeiros'!$F$11-Tabela3[[#This Row],[ISS]])-1,4)</f>
        <v>0.3075</v>
      </c>
    </row>
    <row r="241" spans="1:4" x14ac:dyDescent="0.25">
      <c r="A241" s="254" t="s">
        <v>361</v>
      </c>
      <c r="B241" t="s">
        <v>601</v>
      </c>
      <c r="C241" s="255">
        <v>0.02</v>
      </c>
      <c r="D241" s="255">
        <f>ROUND((1+'Indicadores Financeiros'!$F$9)*(1+'Indicadores Financeiros'!$F$10)/(1-'Indicadores Financeiros'!$F$12-'Indicadores Financeiros'!$F$11-Tabela3[[#This Row],[ISS]])-1,4)</f>
        <v>0.27810000000000001</v>
      </c>
    </row>
    <row r="242" spans="1:4" x14ac:dyDescent="0.25">
      <c r="A242" s="254" t="s">
        <v>349</v>
      </c>
      <c r="B242" t="s">
        <v>602</v>
      </c>
      <c r="C242" s="255">
        <v>0.04</v>
      </c>
      <c r="D242" s="255">
        <f>ROUND((1+'Indicadores Financeiros'!$F$9)*(1+'Indicadores Financeiros'!$F$10)/(1-'Indicadores Financeiros'!$F$12-'Indicadores Financeiros'!$F$11-Tabela3[[#This Row],[ISS]])-1,4)</f>
        <v>0.3075</v>
      </c>
    </row>
    <row r="243" spans="1:4" x14ac:dyDescent="0.25">
      <c r="A243" s="254" t="s">
        <v>365</v>
      </c>
      <c r="B243" t="s">
        <v>603</v>
      </c>
      <c r="C243" s="255">
        <v>0.05</v>
      </c>
      <c r="D243" s="255">
        <f>ROUND((1+'Indicadores Financeiros'!$F$9)*(1+'Indicadores Financeiros'!$F$10)/(1-'Indicadores Financeiros'!$F$12-'Indicadores Financeiros'!$F$11-Tabela3[[#This Row],[ISS]])-1,4)</f>
        <v>0.32279999999999998</v>
      </c>
    </row>
    <row r="244" spans="1:4" x14ac:dyDescent="0.25">
      <c r="A244" s="254" t="s">
        <v>349</v>
      </c>
      <c r="B244" t="s">
        <v>604</v>
      </c>
      <c r="C244" s="255">
        <v>0.05</v>
      </c>
      <c r="D244" s="255">
        <f>ROUND((1+'Indicadores Financeiros'!$F$9)*(1+'Indicadores Financeiros'!$F$10)/(1-'Indicadores Financeiros'!$F$12-'Indicadores Financeiros'!$F$11-Tabela3[[#This Row],[ISS]])-1,4)</f>
        <v>0.32279999999999998</v>
      </c>
    </row>
    <row r="245" spans="1:4" x14ac:dyDescent="0.25">
      <c r="A245" s="254" t="s">
        <v>349</v>
      </c>
      <c r="B245" t="s">
        <v>605</v>
      </c>
      <c r="C245" s="255">
        <v>0.03</v>
      </c>
      <c r="D245" s="255">
        <f>ROUND((1+'Indicadores Financeiros'!$F$9)*(1+'Indicadores Financeiros'!$F$10)/(1-'Indicadores Financeiros'!$F$12-'Indicadores Financeiros'!$F$11-Tabela3[[#This Row],[ISS]])-1,4)</f>
        <v>0.29260000000000003</v>
      </c>
    </row>
    <row r="246" spans="1:4" x14ac:dyDescent="0.25">
      <c r="A246" s="254" t="s">
        <v>388</v>
      </c>
      <c r="B246" t="s">
        <v>606</v>
      </c>
      <c r="C246" s="255">
        <v>0.02</v>
      </c>
      <c r="D246" s="255">
        <f>ROUND((1+'Indicadores Financeiros'!$F$9)*(1+'Indicadores Financeiros'!$F$10)/(1-'Indicadores Financeiros'!$F$12-'Indicadores Financeiros'!$F$11-Tabela3[[#This Row],[ISS]])-1,4)</f>
        <v>0.27810000000000001</v>
      </c>
    </row>
    <row r="247" spans="1:4" x14ac:dyDescent="0.25">
      <c r="A247" s="254" t="s">
        <v>356</v>
      </c>
      <c r="B247" t="s">
        <v>607</v>
      </c>
      <c r="C247" s="255">
        <v>0.05</v>
      </c>
      <c r="D247" s="255">
        <f>ROUND((1+'Indicadores Financeiros'!$F$9)*(1+'Indicadores Financeiros'!$F$10)/(1-'Indicadores Financeiros'!$F$12-'Indicadores Financeiros'!$F$11-Tabela3[[#This Row],[ISS]])-1,4)</f>
        <v>0.32279999999999998</v>
      </c>
    </row>
    <row r="248" spans="1:4" x14ac:dyDescent="0.25">
      <c r="A248" s="254" t="s">
        <v>372</v>
      </c>
      <c r="B248" t="s">
        <v>608</v>
      </c>
      <c r="C248" s="255">
        <v>0.05</v>
      </c>
      <c r="D248" s="255">
        <f>ROUND((1+'Indicadores Financeiros'!$F$9)*(1+'Indicadores Financeiros'!$F$10)/(1-'Indicadores Financeiros'!$F$12-'Indicadores Financeiros'!$F$11-Tabela3[[#This Row],[ISS]])-1,4)</f>
        <v>0.32279999999999998</v>
      </c>
    </row>
    <row r="249" spans="1:4" x14ac:dyDescent="0.25">
      <c r="A249" s="254" t="s">
        <v>356</v>
      </c>
      <c r="B249" t="s">
        <v>609</v>
      </c>
      <c r="C249" s="255">
        <v>0.02</v>
      </c>
      <c r="D249" s="255">
        <f>ROUND((1+'Indicadores Financeiros'!$F$9)*(1+'Indicadores Financeiros'!$F$10)/(1-'Indicadores Financeiros'!$F$12-'Indicadores Financeiros'!$F$11-Tabela3[[#This Row],[ISS]])-1,4)</f>
        <v>0.27810000000000001</v>
      </c>
    </row>
    <row r="250" spans="1:4" x14ac:dyDescent="0.25">
      <c r="A250" s="254" t="s">
        <v>351</v>
      </c>
      <c r="B250" t="s">
        <v>610</v>
      </c>
      <c r="C250" s="255">
        <v>0.03</v>
      </c>
      <c r="D250" s="255">
        <f>ROUND((1+'Indicadores Financeiros'!$F$9)*(1+'Indicadores Financeiros'!$F$10)/(1-'Indicadores Financeiros'!$F$12-'Indicadores Financeiros'!$F$11-Tabela3[[#This Row],[ISS]])-1,4)</f>
        <v>0.29260000000000003</v>
      </c>
    </row>
    <row r="251" spans="1:4" x14ac:dyDescent="0.25">
      <c r="A251" s="254" t="s">
        <v>351</v>
      </c>
      <c r="B251" t="s">
        <v>611</v>
      </c>
      <c r="C251" s="255">
        <v>0.02</v>
      </c>
      <c r="D251" s="255">
        <f>ROUND((1+'Indicadores Financeiros'!$F$9)*(1+'Indicadores Financeiros'!$F$10)/(1-'Indicadores Financeiros'!$F$12-'Indicadores Financeiros'!$F$11-Tabela3[[#This Row],[ISS]])-1,4)</f>
        <v>0.27810000000000001</v>
      </c>
    </row>
    <row r="252" spans="1:4" x14ac:dyDescent="0.25">
      <c r="A252" s="254" t="s">
        <v>372</v>
      </c>
      <c r="B252" t="s">
        <v>612</v>
      </c>
      <c r="C252" s="255">
        <v>0.03</v>
      </c>
      <c r="D252" s="255">
        <f>ROUND((1+'Indicadores Financeiros'!$F$9)*(1+'Indicadores Financeiros'!$F$10)/(1-'Indicadores Financeiros'!$F$12-'Indicadores Financeiros'!$F$11-Tabela3[[#This Row],[ISS]])-1,4)</f>
        <v>0.29260000000000003</v>
      </c>
    </row>
    <row r="253" spans="1:4" x14ac:dyDescent="0.25">
      <c r="A253" s="254" t="s">
        <v>349</v>
      </c>
      <c r="B253" t="s">
        <v>613</v>
      </c>
      <c r="C253" s="255">
        <v>0.05</v>
      </c>
      <c r="D253" s="255">
        <f>ROUND((1+'Indicadores Financeiros'!$F$9)*(1+'Indicadores Financeiros'!$F$10)/(1-'Indicadores Financeiros'!$F$12-'Indicadores Financeiros'!$F$11-Tabela3[[#This Row],[ISS]])-1,4)</f>
        <v>0.32279999999999998</v>
      </c>
    </row>
    <row r="254" spans="1:4" x14ac:dyDescent="0.25">
      <c r="A254" s="254" t="s">
        <v>365</v>
      </c>
      <c r="B254" t="s">
        <v>614</v>
      </c>
      <c r="C254" s="255">
        <v>0.02</v>
      </c>
      <c r="D254" s="255">
        <f>ROUND((1+'Indicadores Financeiros'!$F$9)*(1+'Indicadores Financeiros'!$F$10)/(1-'Indicadores Financeiros'!$F$12-'Indicadores Financeiros'!$F$11-Tabela3[[#This Row],[ISS]])-1,4)</f>
        <v>0.27810000000000001</v>
      </c>
    </row>
    <row r="255" spans="1:4" x14ac:dyDescent="0.25">
      <c r="A255" s="254" t="s">
        <v>365</v>
      </c>
      <c r="B255" t="s">
        <v>615</v>
      </c>
      <c r="C255" s="255">
        <v>0.03</v>
      </c>
      <c r="D255" s="255">
        <f>ROUND((1+'Indicadores Financeiros'!$F$9)*(1+'Indicadores Financeiros'!$F$10)/(1-'Indicadores Financeiros'!$F$12-'Indicadores Financeiros'!$F$11-Tabela3[[#This Row],[ISS]])-1,4)</f>
        <v>0.29260000000000003</v>
      </c>
    </row>
    <row r="256" spans="1:4" x14ac:dyDescent="0.25">
      <c r="A256" s="254" t="s">
        <v>363</v>
      </c>
      <c r="B256" t="s">
        <v>616</v>
      </c>
      <c r="C256" s="255">
        <v>0.02</v>
      </c>
      <c r="D256" s="255">
        <f>ROUND((1+'Indicadores Financeiros'!$F$9)*(1+'Indicadores Financeiros'!$F$10)/(1-'Indicadores Financeiros'!$F$12-'Indicadores Financeiros'!$F$11-Tabela3[[#This Row],[ISS]])-1,4)</f>
        <v>0.27810000000000001</v>
      </c>
    </row>
    <row r="257" spans="1:4" x14ac:dyDescent="0.25">
      <c r="A257" s="254" t="s">
        <v>363</v>
      </c>
      <c r="B257" t="s">
        <v>617</v>
      </c>
      <c r="C257" s="255">
        <v>0.05</v>
      </c>
      <c r="D257" s="255">
        <f>ROUND((1+'Indicadores Financeiros'!$F$9)*(1+'Indicadores Financeiros'!$F$10)/(1-'Indicadores Financeiros'!$F$12-'Indicadores Financeiros'!$F$11-Tabela3[[#This Row],[ISS]])-1,4)</f>
        <v>0.32279999999999998</v>
      </c>
    </row>
    <row r="258" spans="1:4" x14ac:dyDescent="0.25">
      <c r="A258" s="254" t="s">
        <v>381</v>
      </c>
      <c r="B258" t="s">
        <v>618</v>
      </c>
      <c r="C258" s="255">
        <v>0.05</v>
      </c>
      <c r="D258" s="255">
        <f>ROUND((1+'Indicadores Financeiros'!$F$9)*(1+'Indicadores Financeiros'!$F$10)/(1-'Indicadores Financeiros'!$F$12-'Indicadores Financeiros'!$F$11-Tabela3[[#This Row],[ISS]])-1,4)</f>
        <v>0.32279999999999998</v>
      </c>
    </row>
    <row r="259" spans="1:4" x14ac:dyDescent="0.25">
      <c r="A259" s="254" t="s">
        <v>351</v>
      </c>
      <c r="B259" t="s">
        <v>619</v>
      </c>
      <c r="C259" s="255">
        <v>0.02</v>
      </c>
      <c r="D259" s="255">
        <f>ROUND((1+'Indicadores Financeiros'!$F$9)*(1+'Indicadores Financeiros'!$F$10)/(1-'Indicadores Financeiros'!$F$12-'Indicadores Financeiros'!$F$11-Tabela3[[#This Row],[ISS]])-1,4)</f>
        <v>0.27810000000000001</v>
      </c>
    </row>
    <row r="260" spans="1:4" x14ac:dyDescent="0.25">
      <c r="A260" s="254" t="s">
        <v>365</v>
      </c>
      <c r="B260" t="s">
        <v>620</v>
      </c>
      <c r="C260" s="255">
        <v>0.02</v>
      </c>
      <c r="D260" s="255">
        <f>ROUND((1+'Indicadores Financeiros'!$F$9)*(1+'Indicadores Financeiros'!$F$10)/(1-'Indicadores Financeiros'!$F$12-'Indicadores Financeiros'!$F$11-Tabela3[[#This Row],[ISS]])-1,4)</f>
        <v>0.27810000000000001</v>
      </c>
    </row>
    <row r="261" spans="1:4" x14ac:dyDescent="0.25">
      <c r="A261" s="254" t="s">
        <v>356</v>
      </c>
      <c r="B261" t="s">
        <v>621</v>
      </c>
      <c r="C261" s="255">
        <v>0.03</v>
      </c>
      <c r="D261" s="255">
        <f>ROUND((1+'Indicadores Financeiros'!$F$9)*(1+'Indicadores Financeiros'!$F$10)/(1-'Indicadores Financeiros'!$F$12-'Indicadores Financeiros'!$F$11-Tabela3[[#This Row],[ISS]])-1,4)</f>
        <v>0.29260000000000003</v>
      </c>
    </row>
    <row r="262" spans="1:4" x14ac:dyDescent="0.25">
      <c r="A262" s="254" t="s">
        <v>354</v>
      </c>
      <c r="B262" t="s">
        <v>622</v>
      </c>
      <c r="C262" s="255">
        <v>0.04</v>
      </c>
      <c r="D262" s="255">
        <f>ROUND((1+'Indicadores Financeiros'!$F$9)*(1+'Indicadores Financeiros'!$F$10)/(1-'Indicadores Financeiros'!$F$12-'Indicadores Financeiros'!$F$11-Tabela3[[#This Row],[ISS]])-1,4)</f>
        <v>0.3075</v>
      </c>
    </row>
    <row r="263" spans="1:4" x14ac:dyDescent="0.25">
      <c r="A263" s="254" t="s">
        <v>361</v>
      </c>
      <c r="B263" t="s">
        <v>623</v>
      </c>
      <c r="C263" s="255">
        <v>0.05</v>
      </c>
      <c r="D263" s="255">
        <f>ROUND((1+'Indicadores Financeiros'!$F$9)*(1+'Indicadores Financeiros'!$F$10)/(1-'Indicadores Financeiros'!$F$12-'Indicadores Financeiros'!$F$11-Tabela3[[#This Row],[ISS]])-1,4)</f>
        <v>0.32279999999999998</v>
      </c>
    </row>
    <row r="264" spans="1:4" x14ac:dyDescent="0.25">
      <c r="A264" s="254" t="s">
        <v>372</v>
      </c>
      <c r="B264" t="s">
        <v>624</v>
      </c>
      <c r="C264" s="255">
        <v>0.05</v>
      </c>
      <c r="D264" s="255">
        <f>ROUND((1+'Indicadores Financeiros'!$F$9)*(1+'Indicadores Financeiros'!$F$10)/(1-'Indicadores Financeiros'!$F$12-'Indicadores Financeiros'!$F$11-Tabela3[[#This Row],[ISS]])-1,4)</f>
        <v>0.32279999999999998</v>
      </c>
    </row>
    <row r="265" spans="1:4" x14ac:dyDescent="0.25">
      <c r="A265" s="254" t="s">
        <v>351</v>
      </c>
      <c r="B265" t="s">
        <v>625</v>
      </c>
      <c r="C265" s="255">
        <v>0.05</v>
      </c>
      <c r="D265" s="255">
        <f>ROUND((1+'Indicadores Financeiros'!$F$9)*(1+'Indicadores Financeiros'!$F$10)/(1-'Indicadores Financeiros'!$F$12-'Indicadores Financeiros'!$F$11-Tabela3[[#This Row],[ISS]])-1,4)</f>
        <v>0.32279999999999998</v>
      </c>
    </row>
    <row r="266" spans="1:4" x14ac:dyDescent="0.25">
      <c r="A266" s="254" t="s">
        <v>356</v>
      </c>
      <c r="B266" t="s">
        <v>626</v>
      </c>
      <c r="C266" s="255">
        <v>0.03</v>
      </c>
      <c r="D266" s="255">
        <f>ROUND((1+'Indicadores Financeiros'!$F$9)*(1+'Indicadores Financeiros'!$F$10)/(1-'Indicadores Financeiros'!$F$12-'Indicadores Financeiros'!$F$11-Tabela3[[#This Row],[ISS]])-1,4)</f>
        <v>0.29260000000000003</v>
      </c>
    </row>
    <row r="267" spans="1:4" x14ac:dyDescent="0.25">
      <c r="A267" s="254" t="s">
        <v>372</v>
      </c>
      <c r="B267" t="s">
        <v>627</v>
      </c>
      <c r="C267" s="255">
        <v>0.02</v>
      </c>
      <c r="D267" s="255">
        <f>ROUND((1+'Indicadores Financeiros'!$F$9)*(1+'Indicadores Financeiros'!$F$10)/(1-'Indicadores Financeiros'!$F$12-'Indicadores Financeiros'!$F$11-Tabela3[[#This Row],[ISS]])-1,4)</f>
        <v>0.27810000000000001</v>
      </c>
    </row>
    <row r="268" spans="1:4" x14ac:dyDescent="0.25">
      <c r="A268" s="254" t="s">
        <v>349</v>
      </c>
      <c r="B268" t="s">
        <v>628</v>
      </c>
      <c r="C268" s="255">
        <v>0.05</v>
      </c>
      <c r="D268" s="255">
        <f>ROUND((1+'Indicadores Financeiros'!$F$9)*(1+'Indicadores Financeiros'!$F$10)/(1-'Indicadores Financeiros'!$F$12-'Indicadores Financeiros'!$F$11-Tabela3[[#This Row],[ISS]])-1,4)</f>
        <v>0.32279999999999998</v>
      </c>
    </row>
    <row r="269" spans="1:4" x14ac:dyDescent="0.25">
      <c r="A269" s="254" t="s">
        <v>372</v>
      </c>
      <c r="B269" t="s">
        <v>629</v>
      </c>
      <c r="C269" s="255">
        <v>0.04</v>
      </c>
      <c r="D269" s="255">
        <f>ROUND((1+'Indicadores Financeiros'!$F$9)*(1+'Indicadores Financeiros'!$F$10)/(1-'Indicadores Financeiros'!$F$12-'Indicadores Financeiros'!$F$11-Tabela3[[#This Row],[ISS]])-1,4)</f>
        <v>0.3075</v>
      </c>
    </row>
    <row r="270" spans="1:4" x14ac:dyDescent="0.25">
      <c r="A270" s="254" t="s">
        <v>388</v>
      </c>
      <c r="B270" t="s">
        <v>630</v>
      </c>
      <c r="C270" s="255">
        <v>0.04</v>
      </c>
      <c r="D270" s="255">
        <f>ROUND((1+'Indicadores Financeiros'!$F$9)*(1+'Indicadores Financeiros'!$F$10)/(1-'Indicadores Financeiros'!$F$12-'Indicadores Financeiros'!$F$11-Tabela3[[#This Row],[ISS]])-1,4)</f>
        <v>0.3075</v>
      </c>
    </row>
    <row r="271" spans="1:4" x14ac:dyDescent="0.25">
      <c r="A271" s="254" t="s">
        <v>365</v>
      </c>
      <c r="B271" t="s">
        <v>631</v>
      </c>
      <c r="C271" s="255">
        <v>0.03</v>
      </c>
      <c r="D271" s="255">
        <f>ROUND((1+'Indicadores Financeiros'!$F$9)*(1+'Indicadores Financeiros'!$F$10)/(1-'Indicadores Financeiros'!$F$12-'Indicadores Financeiros'!$F$11-Tabela3[[#This Row],[ISS]])-1,4)</f>
        <v>0.29260000000000003</v>
      </c>
    </row>
    <row r="272" spans="1:4" x14ac:dyDescent="0.25">
      <c r="A272" s="254" t="s">
        <v>372</v>
      </c>
      <c r="B272" t="s">
        <v>632</v>
      </c>
      <c r="C272" s="255">
        <v>0.02</v>
      </c>
      <c r="D272" s="255">
        <f>ROUND((1+'Indicadores Financeiros'!$F$9)*(1+'Indicadores Financeiros'!$F$10)/(1-'Indicadores Financeiros'!$F$12-'Indicadores Financeiros'!$F$11-Tabela3[[#This Row],[ISS]])-1,4)</f>
        <v>0.27810000000000001</v>
      </c>
    </row>
    <row r="273" spans="1:4" x14ac:dyDescent="0.25">
      <c r="A273" s="254" t="s">
        <v>372</v>
      </c>
      <c r="B273" t="s">
        <v>633</v>
      </c>
      <c r="C273" s="255">
        <v>0.05</v>
      </c>
      <c r="D273" s="255">
        <f>ROUND((1+'Indicadores Financeiros'!$F$9)*(1+'Indicadores Financeiros'!$F$10)/(1-'Indicadores Financeiros'!$F$12-'Indicadores Financeiros'!$F$11-Tabela3[[#This Row],[ISS]])-1,4)</f>
        <v>0.32279999999999998</v>
      </c>
    </row>
    <row r="274" spans="1:4" x14ac:dyDescent="0.25">
      <c r="A274" s="254" t="s">
        <v>356</v>
      </c>
      <c r="B274" t="s">
        <v>634</v>
      </c>
      <c r="C274" s="255">
        <v>0.02</v>
      </c>
      <c r="D274" s="255">
        <f>ROUND((1+'Indicadores Financeiros'!$F$9)*(1+'Indicadores Financeiros'!$F$10)/(1-'Indicadores Financeiros'!$F$12-'Indicadores Financeiros'!$F$11-Tabela3[[#This Row],[ISS]])-1,4)</f>
        <v>0.27810000000000001</v>
      </c>
    </row>
    <row r="275" spans="1:4" x14ac:dyDescent="0.25">
      <c r="A275" s="254" t="s">
        <v>351</v>
      </c>
      <c r="B275" t="s">
        <v>635</v>
      </c>
      <c r="C275" s="255">
        <v>0.04</v>
      </c>
      <c r="D275" s="255">
        <f>ROUND((1+'Indicadores Financeiros'!$F$9)*(1+'Indicadores Financeiros'!$F$10)/(1-'Indicadores Financeiros'!$F$12-'Indicadores Financeiros'!$F$11-Tabela3[[#This Row],[ISS]])-1,4)</f>
        <v>0.3075</v>
      </c>
    </row>
    <row r="276" spans="1:4" x14ac:dyDescent="0.25">
      <c r="A276" s="254" t="s">
        <v>356</v>
      </c>
      <c r="B276" t="s">
        <v>636</v>
      </c>
      <c r="C276" s="255">
        <v>0.03</v>
      </c>
      <c r="D276" s="255">
        <f>ROUND((1+'Indicadores Financeiros'!$F$9)*(1+'Indicadores Financeiros'!$F$10)/(1-'Indicadores Financeiros'!$F$12-'Indicadores Financeiros'!$F$11-Tabela3[[#This Row],[ISS]])-1,4)</f>
        <v>0.29260000000000003</v>
      </c>
    </row>
    <row r="277" spans="1:4" x14ac:dyDescent="0.25">
      <c r="A277" s="254" t="s">
        <v>356</v>
      </c>
      <c r="B277" t="s">
        <v>637</v>
      </c>
      <c r="C277" s="255">
        <v>0.03</v>
      </c>
      <c r="D277" s="255">
        <f>ROUND((1+'Indicadores Financeiros'!$F$9)*(1+'Indicadores Financeiros'!$F$10)/(1-'Indicadores Financeiros'!$F$12-'Indicadores Financeiros'!$F$11-Tabela3[[#This Row],[ISS]])-1,4)</f>
        <v>0.29260000000000003</v>
      </c>
    </row>
    <row r="278" spans="1:4" x14ac:dyDescent="0.25">
      <c r="A278" s="254" t="s">
        <v>381</v>
      </c>
      <c r="B278" t="s">
        <v>638</v>
      </c>
      <c r="C278" s="255">
        <v>0.05</v>
      </c>
      <c r="D278" s="255">
        <f>ROUND((1+'Indicadores Financeiros'!$F$9)*(1+'Indicadores Financeiros'!$F$10)/(1-'Indicadores Financeiros'!$F$12-'Indicadores Financeiros'!$F$11-Tabela3[[#This Row],[ISS]])-1,4)</f>
        <v>0.32279999999999998</v>
      </c>
    </row>
    <row r="279" spans="1:4" x14ac:dyDescent="0.25">
      <c r="A279" s="254" t="s">
        <v>365</v>
      </c>
      <c r="B279" t="s">
        <v>639</v>
      </c>
      <c r="C279" s="255">
        <v>0.03</v>
      </c>
      <c r="D279" s="255">
        <f>ROUND((1+'Indicadores Financeiros'!$F$9)*(1+'Indicadores Financeiros'!$F$10)/(1-'Indicadores Financeiros'!$F$12-'Indicadores Financeiros'!$F$11-Tabela3[[#This Row],[ISS]])-1,4)</f>
        <v>0.29260000000000003</v>
      </c>
    </row>
    <row r="280" spans="1:4" x14ac:dyDescent="0.25">
      <c r="A280" s="254" t="s">
        <v>365</v>
      </c>
      <c r="B280" t="s">
        <v>640</v>
      </c>
      <c r="C280" s="255">
        <v>0.03</v>
      </c>
      <c r="D280" s="255">
        <f>ROUND((1+'Indicadores Financeiros'!$F$9)*(1+'Indicadores Financeiros'!$F$10)/(1-'Indicadores Financeiros'!$F$12-'Indicadores Financeiros'!$F$11-Tabela3[[#This Row],[ISS]])-1,4)</f>
        <v>0.29260000000000003</v>
      </c>
    </row>
    <row r="281" spans="1:4" x14ac:dyDescent="0.25">
      <c r="A281" s="254" t="s">
        <v>354</v>
      </c>
      <c r="B281" t="s">
        <v>641</v>
      </c>
      <c r="C281" s="255">
        <v>0.03</v>
      </c>
      <c r="D281" s="255">
        <f>ROUND((1+'Indicadores Financeiros'!$F$9)*(1+'Indicadores Financeiros'!$F$10)/(1-'Indicadores Financeiros'!$F$12-'Indicadores Financeiros'!$F$11-Tabela3[[#This Row],[ISS]])-1,4)</f>
        <v>0.29260000000000003</v>
      </c>
    </row>
    <row r="282" spans="1:4" x14ac:dyDescent="0.25">
      <c r="A282" s="254" t="s">
        <v>363</v>
      </c>
      <c r="B282" t="s">
        <v>642</v>
      </c>
      <c r="C282" s="255">
        <v>0.05</v>
      </c>
      <c r="D282" s="255">
        <f>ROUND((1+'Indicadores Financeiros'!$F$9)*(1+'Indicadores Financeiros'!$F$10)/(1-'Indicadores Financeiros'!$F$12-'Indicadores Financeiros'!$F$11-Tabela3[[#This Row],[ISS]])-1,4)</f>
        <v>0.32279999999999998</v>
      </c>
    </row>
    <row r="283" spans="1:4" x14ac:dyDescent="0.25">
      <c r="A283" s="254" t="s">
        <v>372</v>
      </c>
      <c r="B283" t="s">
        <v>643</v>
      </c>
      <c r="C283" s="255">
        <v>0.02</v>
      </c>
      <c r="D283" s="255">
        <f>ROUND((1+'Indicadores Financeiros'!$F$9)*(1+'Indicadores Financeiros'!$F$10)/(1-'Indicadores Financeiros'!$F$12-'Indicadores Financeiros'!$F$11-Tabela3[[#This Row],[ISS]])-1,4)</f>
        <v>0.27810000000000001</v>
      </c>
    </row>
    <row r="284" spans="1:4" x14ac:dyDescent="0.25">
      <c r="A284" s="254" t="s">
        <v>351</v>
      </c>
      <c r="B284" t="s">
        <v>644</v>
      </c>
      <c r="C284" s="255">
        <v>0.05</v>
      </c>
      <c r="D284" s="255">
        <f>ROUND((1+'Indicadores Financeiros'!$F$9)*(1+'Indicadores Financeiros'!$F$10)/(1-'Indicadores Financeiros'!$F$12-'Indicadores Financeiros'!$F$11-Tabela3[[#This Row],[ISS]])-1,4)</f>
        <v>0.32279999999999998</v>
      </c>
    </row>
    <row r="285" spans="1:4" x14ac:dyDescent="0.25">
      <c r="A285" s="254" t="s">
        <v>363</v>
      </c>
      <c r="B285" t="s">
        <v>645</v>
      </c>
      <c r="C285" s="255">
        <v>0.02</v>
      </c>
      <c r="D285" s="255">
        <f>ROUND((1+'Indicadores Financeiros'!$F$9)*(1+'Indicadores Financeiros'!$F$10)/(1-'Indicadores Financeiros'!$F$12-'Indicadores Financeiros'!$F$11-Tabela3[[#This Row],[ISS]])-1,4)</f>
        <v>0.27810000000000001</v>
      </c>
    </row>
    <row r="286" spans="1:4" x14ac:dyDescent="0.25">
      <c r="A286" s="254" t="s">
        <v>365</v>
      </c>
      <c r="B286" t="s">
        <v>646</v>
      </c>
      <c r="C286" s="255">
        <v>0.05</v>
      </c>
      <c r="D286" s="255">
        <f>ROUND((1+'Indicadores Financeiros'!$F$9)*(1+'Indicadores Financeiros'!$F$10)/(1-'Indicadores Financeiros'!$F$12-'Indicadores Financeiros'!$F$11-Tabela3[[#This Row],[ISS]])-1,4)</f>
        <v>0.32279999999999998</v>
      </c>
    </row>
    <row r="287" spans="1:4" x14ac:dyDescent="0.25">
      <c r="A287" s="254" t="s">
        <v>356</v>
      </c>
      <c r="B287" t="s">
        <v>647</v>
      </c>
      <c r="C287" s="255">
        <v>0.05</v>
      </c>
      <c r="D287" s="255">
        <f>ROUND((1+'Indicadores Financeiros'!$F$9)*(1+'Indicadores Financeiros'!$F$10)/(1-'Indicadores Financeiros'!$F$12-'Indicadores Financeiros'!$F$11-Tabela3[[#This Row],[ISS]])-1,4)</f>
        <v>0.32279999999999998</v>
      </c>
    </row>
    <row r="288" spans="1:4" x14ac:dyDescent="0.25">
      <c r="A288" s="254" t="s">
        <v>356</v>
      </c>
      <c r="B288" t="s">
        <v>648</v>
      </c>
      <c r="C288" s="255">
        <v>0.05</v>
      </c>
      <c r="D288" s="255">
        <f>ROUND((1+'Indicadores Financeiros'!$F$9)*(1+'Indicadores Financeiros'!$F$10)/(1-'Indicadores Financeiros'!$F$12-'Indicadores Financeiros'!$F$11-Tabela3[[#This Row],[ISS]])-1,4)</f>
        <v>0.32279999999999998</v>
      </c>
    </row>
    <row r="289" spans="1:4" x14ac:dyDescent="0.25">
      <c r="A289" s="254" t="s">
        <v>388</v>
      </c>
      <c r="B289" t="s">
        <v>649</v>
      </c>
      <c r="C289" s="255">
        <v>0.03</v>
      </c>
      <c r="D289" s="255">
        <f>ROUND((1+'Indicadores Financeiros'!$F$9)*(1+'Indicadores Financeiros'!$F$10)/(1-'Indicadores Financeiros'!$F$12-'Indicadores Financeiros'!$F$11-Tabela3[[#This Row],[ISS]])-1,4)</f>
        <v>0.29260000000000003</v>
      </c>
    </row>
    <row r="290" spans="1:4" x14ac:dyDescent="0.25">
      <c r="A290" s="254" t="s">
        <v>351</v>
      </c>
      <c r="B290" t="s">
        <v>650</v>
      </c>
      <c r="C290" s="255">
        <v>0.03</v>
      </c>
      <c r="D290" s="255">
        <f>ROUND((1+'Indicadores Financeiros'!$F$9)*(1+'Indicadores Financeiros'!$F$10)/(1-'Indicadores Financeiros'!$F$12-'Indicadores Financeiros'!$F$11-Tabela3[[#This Row],[ISS]])-1,4)</f>
        <v>0.29260000000000003</v>
      </c>
    </row>
    <row r="291" spans="1:4" x14ac:dyDescent="0.25">
      <c r="A291" s="254" t="s">
        <v>356</v>
      </c>
      <c r="B291" t="s">
        <v>651</v>
      </c>
      <c r="C291" s="255">
        <v>0.05</v>
      </c>
      <c r="D291" s="255">
        <f>ROUND((1+'Indicadores Financeiros'!$F$9)*(1+'Indicadores Financeiros'!$F$10)/(1-'Indicadores Financeiros'!$F$12-'Indicadores Financeiros'!$F$11-Tabela3[[#This Row],[ISS]])-1,4)</f>
        <v>0.32279999999999998</v>
      </c>
    </row>
    <row r="292" spans="1:4" x14ac:dyDescent="0.25">
      <c r="A292" s="254" t="s">
        <v>356</v>
      </c>
      <c r="B292" t="s">
        <v>652</v>
      </c>
      <c r="C292" s="255">
        <v>0.03</v>
      </c>
      <c r="D292" s="255">
        <f>ROUND((1+'Indicadores Financeiros'!$F$9)*(1+'Indicadores Financeiros'!$F$10)/(1-'Indicadores Financeiros'!$F$12-'Indicadores Financeiros'!$F$11-Tabela3[[#This Row],[ISS]])-1,4)</f>
        <v>0.29260000000000003</v>
      </c>
    </row>
    <row r="293" spans="1:4" x14ac:dyDescent="0.25">
      <c r="A293" s="254" t="s">
        <v>351</v>
      </c>
      <c r="B293" t="s">
        <v>653</v>
      </c>
      <c r="C293" s="255">
        <v>2.5000000000000001E-2</v>
      </c>
      <c r="D293" s="255">
        <f>ROUND((1+'Indicadores Financeiros'!$F$9)*(1+'Indicadores Financeiros'!$F$10)/(1-'Indicadores Financeiros'!$F$12-'Indicadores Financeiros'!$F$11-Tabela3[[#This Row],[ISS]])-1,4)</f>
        <v>0.2853</v>
      </c>
    </row>
    <row r="294" spans="1:4" x14ac:dyDescent="0.25">
      <c r="A294" s="254" t="s">
        <v>363</v>
      </c>
      <c r="B294" t="s">
        <v>654</v>
      </c>
      <c r="C294" s="255">
        <v>0.05</v>
      </c>
      <c r="D294" s="255">
        <f>ROUND((1+'Indicadores Financeiros'!$F$9)*(1+'Indicadores Financeiros'!$F$10)/(1-'Indicadores Financeiros'!$F$12-'Indicadores Financeiros'!$F$11-Tabela3[[#This Row],[ISS]])-1,4)</f>
        <v>0.32279999999999998</v>
      </c>
    </row>
    <row r="295" spans="1:4" x14ac:dyDescent="0.25">
      <c r="A295" s="254" t="s">
        <v>351</v>
      </c>
      <c r="B295" t="s">
        <v>655</v>
      </c>
      <c r="C295" s="255">
        <v>0.04</v>
      </c>
      <c r="D295" s="255">
        <f>ROUND((1+'Indicadores Financeiros'!$F$9)*(1+'Indicadores Financeiros'!$F$10)/(1-'Indicadores Financeiros'!$F$12-'Indicadores Financeiros'!$F$11-Tabela3[[#This Row],[ISS]])-1,4)</f>
        <v>0.3075</v>
      </c>
    </row>
    <row r="296" spans="1:4" x14ac:dyDescent="0.25">
      <c r="A296" s="254" t="s">
        <v>372</v>
      </c>
      <c r="B296" t="s">
        <v>656</v>
      </c>
      <c r="C296" s="255">
        <v>0.03</v>
      </c>
      <c r="D296" s="255">
        <f>ROUND((1+'Indicadores Financeiros'!$F$9)*(1+'Indicadores Financeiros'!$F$10)/(1-'Indicadores Financeiros'!$F$12-'Indicadores Financeiros'!$F$11-Tabela3[[#This Row],[ISS]])-1,4)</f>
        <v>0.29260000000000003</v>
      </c>
    </row>
    <row r="297" spans="1:4" x14ac:dyDescent="0.25">
      <c r="A297" s="254" t="s">
        <v>381</v>
      </c>
      <c r="B297" t="s">
        <v>657</v>
      </c>
      <c r="C297" s="255">
        <v>0.03</v>
      </c>
      <c r="D297" s="255">
        <f>ROUND((1+'Indicadores Financeiros'!$F$9)*(1+'Indicadores Financeiros'!$F$10)/(1-'Indicadores Financeiros'!$F$12-'Indicadores Financeiros'!$F$11-Tabela3[[#This Row],[ISS]])-1,4)</f>
        <v>0.29260000000000003</v>
      </c>
    </row>
    <row r="298" spans="1:4" x14ac:dyDescent="0.25">
      <c r="A298" s="254" t="s">
        <v>372</v>
      </c>
      <c r="B298" t="s">
        <v>658</v>
      </c>
      <c r="C298" s="255">
        <v>0.05</v>
      </c>
      <c r="D298" s="255">
        <f>ROUND((1+'Indicadores Financeiros'!$F$9)*(1+'Indicadores Financeiros'!$F$10)/(1-'Indicadores Financeiros'!$F$12-'Indicadores Financeiros'!$F$11-Tabela3[[#This Row],[ISS]])-1,4)</f>
        <v>0.32279999999999998</v>
      </c>
    </row>
    <row r="299" spans="1:4" x14ac:dyDescent="0.25">
      <c r="A299" s="254" t="s">
        <v>356</v>
      </c>
      <c r="B299" t="s">
        <v>659</v>
      </c>
      <c r="C299" s="255">
        <v>0.03</v>
      </c>
      <c r="D299" s="255">
        <f>ROUND((1+'Indicadores Financeiros'!$F$9)*(1+'Indicadores Financeiros'!$F$10)/(1-'Indicadores Financeiros'!$F$12-'Indicadores Financeiros'!$F$11-Tabela3[[#This Row],[ISS]])-1,4)</f>
        <v>0.29260000000000003</v>
      </c>
    </row>
    <row r="300" spans="1:4" x14ac:dyDescent="0.25">
      <c r="A300" s="254" t="s">
        <v>381</v>
      </c>
      <c r="B300" t="s">
        <v>660</v>
      </c>
      <c r="C300" s="255">
        <v>0.03</v>
      </c>
      <c r="D300" s="255">
        <f>ROUND((1+'Indicadores Financeiros'!$F$9)*(1+'Indicadores Financeiros'!$F$10)/(1-'Indicadores Financeiros'!$F$12-'Indicadores Financeiros'!$F$11-Tabela3[[#This Row],[ISS]])-1,4)</f>
        <v>0.29260000000000003</v>
      </c>
    </row>
    <row r="301" spans="1:4" x14ac:dyDescent="0.25">
      <c r="A301" s="254" t="s">
        <v>356</v>
      </c>
      <c r="B301" t="s">
        <v>661</v>
      </c>
      <c r="C301" s="255">
        <v>0.02</v>
      </c>
      <c r="D301" s="255">
        <f>ROUND((1+'Indicadores Financeiros'!$F$9)*(1+'Indicadores Financeiros'!$F$10)/(1-'Indicadores Financeiros'!$F$12-'Indicadores Financeiros'!$F$11-Tabela3[[#This Row],[ISS]])-1,4)</f>
        <v>0.27810000000000001</v>
      </c>
    </row>
    <row r="302" spans="1:4" x14ac:dyDescent="0.25">
      <c r="A302" s="254" t="s">
        <v>354</v>
      </c>
      <c r="B302" t="s">
        <v>662</v>
      </c>
      <c r="C302" s="255">
        <v>0.05</v>
      </c>
      <c r="D302" s="255">
        <f>ROUND((1+'Indicadores Financeiros'!$F$9)*(1+'Indicadores Financeiros'!$F$10)/(1-'Indicadores Financeiros'!$F$12-'Indicadores Financeiros'!$F$11-Tabela3[[#This Row],[ISS]])-1,4)</f>
        <v>0.32279999999999998</v>
      </c>
    </row>
    <row r="303" spans="1:4" x14ac:dyDescent="0.25">
      <c r="A303" s="254" t="s">
        <v>363</v>
      </c>
      <c r="B303" t="s">
        <v>663</v>
      </c>
      <c r="C303" s="255">
        <v>0.05</v>
      </c>
      <c r="D303" s="255">
        <f>ROUND((1+'Indicadores Financeiros'!$F$9)*(1+'Indicadores Financeiros'!$F$10)/(1-'Indicadores Financeiros'!$F$12-'Indicadores Financeiros'!$F$11-Tabela3[[#This Row],[ISS]])-1,4)</f>
        <v>0.32279999999999998</v>
      </c>
    </row>
    <row r="304" spans="1:4" x14ac:dyDescent="0.25">
      <c r="A304" s="254" t="s">
        <v>365</v>
      </c>
      <c r="B304" t="s">
        <v>664</v>
      </c>
      <c r="C304" s="255">
        <v>0.05</v>
      </c>
      <c r="D304" s="255">
        <f>ROUND((1+'Indicadores Financeiros'!$F$9)*(1+'Indicadores Financeiros'!$F$10)/(1-'Indicadores Financeiros'!$F$12-'Indicadores Financeiros'!$F$11-Tabela3[[#This Row],[ISS]])-1,4)</f>
        <v>0.32279999999999998</v>
      </c>
    </row>
    <row r="305" spans="1:4" x14ac:dyDescent="0.25">
      <c r="A305" s="254" t="s">
        <v>349</v>
      </c>
      <c r="B305" t="s">
        <v>665</v>
      </c>
      <c r="C305" s="255">
        <v>0.03</v>
      </c>
      <c r="D305" s="255">
        <f>ROUND((1+'Indicadores Financeiros'!$F$9)*(1+'Indicadores Financeiros'!$F$10)/(1-'Indicadores Financeiros'!$F$12-'Indicadores Financeiros'!$F$11-Tabela3[[#This Row],[ISS]])-1,4)</f>
        <v>0.29260000000000003</v>
      </c>
    </row>
    <row r="306" spans="1:4" x14ac:dyDescent="0.25">
      <c r="A306" s="254" t="s">
        <v>351</v>
      </c>
      <c r="B306" t="s">
        <v>666</v>
      </c>
      <c r="C306" s="255">
        <v>0.03</v>
      </c>
      <c r="D306" s="255">
        <f>ROUND((1+'Indicadores Financeiros'!$F$9)*(1+'Indicadores Financeiros'!$F$10)/(1-'Indicadores Financeiros'!$F$12-'Indicadores Financeiros'!$F$11-Tabela3[[#This Row],[ISS]])-1,4)</f>
        <v>0.29260000000000003</v>
      </c>
    </row>
    <row r="307" spans="1:4" x14ac:dyDescent="0.25">
      <c r="A307" s="254" t="s">
        <v>365</v>
      </c>
      <c r="B307" t="s">
        <v>667</v>
      </c>
      <c r="C307" s="255">
        <v>0.03</v>
      </c>
      <c r="D307" s="255">
        <f>ROUND((1+'Indicadores Financeiros'!$F$9)*(1+'Indicadores Financeiros'!$F$10)/(1-'Indicadores Financeiros'!$F$12-'Indicadores Financeiros'!$F$11-Tabela3[[#This Row],[ISS]])-1,4)</f>
        <v>0.29260000000000003</v>
      </c>
    </row>
    <row r="308" spans="1:4" x14ac:dyDescent="0.25">
      <c r="A308" s="254" t="s">
        <v>349</v>
      </c>
      <c r="B308" t="s">
        <v>668</v>
      </c>
      <c r="C308" s="255">
        <v>0.05</v>
      </c>
      <c r="D308" s="255">
        <f>ROUND((1+'Indicadores Financeiros'!$F$9)*(1+'Indicadores Financeiros'!$F$10)/(1-'Indicadores Financeiros'!$F$12-'Indicadores Financeiros'!$F$11-Tabela3[[#This Row],[ISS]])-1,4)</f>
        <v>0.32279999999999998</v>
      </c>
    </row>
    <row r="309" spans="1:4" x14ac:dyDescent="0.25">
      <c r="A309" s="254" t="s">
        <v>349</v>
      </c>
      <c r="B309" t="s">
        <v>669</v>
      </c>
      <c r="C309" s="255">
        <v>0.03</v>
      </c>
      <c r="D309" s="255">
        <f>ROUND((1+'Indicadores Financeiros'!$F$9)*(1+'Indicadores Financeiros'!$F$10)/(1-'Indicadores Financeiros'!$F$12-'Indicadores Financeiros'!$F$11-Tabela3[[#This Row],[ISS]])-1,4)</f>
        <v>0.29260000000000003</v>
      </c>
    </row>
    <row r="310" spans="1:4" x14ac:dyDescent="0.25">
      <c r="A310" s="254" t="s">
        <v>365</v>
      </c>
      <c r="B310" t="s">
        <v>670</v>
      </c>
      <c r="C310" s="255">
        <v>0.03</v>
      </c>
      <c r="D310" s="255">
        <f>ROUND((1+'Indicadores Financeiros'!$F$9)*(1+'Indicadores Financeiros'!$F$10)/(1-'Indicadores Financeiros'!$F$12-'Indicadores Financeiros'!$F$11-Tabela3[[#This Row],[ISS]])-1,4)</f>
        <v>0.29260000000000003</v>
      </c>
    </row>
    <row r="311" spans="1:4" x14ac:dyDescent="0.25">
      <c r="A311" s="254" t="s">
        <v>361</v>
      </c>
      <c r="B311" t="s">
        <v>671</v>
      </c>
      <c r="C311" s="255">
        <v>0.05</v>
      </c>
      <c r="D311" s="255">
        <f>ROUND((1+'Indicadores Financeiros'!$F$9)*(1+'Indicadores Financeiros'!$F$10)/(1-'Indicadores Financeiros'!$F$12-'Indicadores Financeiros'!$F$11-Tabela3[[#This Row],[ISS]])-1,4)</f>
        <v>0.32279999999999998</v>
      </c>
    </row>
    <row r="312" spans="1:4" x14ac:dyDescent="0.25">
      <c r="A312" s="254" t="s">
        <v>381</v>
      </c>
      <c r="B312" t="s">
        <v>672</v>
      </c>
      <c r="C312" s="255">
        <v>0.03</v>
      </c>
      <c r="D312" s="255">
        <f>ROUND((1+'Indicadores Financeiros'!$F$9)*(1+'Indicadores Financeiros'!$F$10)/(1-'Indicadores Financeiros'!$F$12-'Indicadores Financeiros'!$F$11-Tabela3[[#This Row],[ISS]])-1,4)</f>
        <v>0.29260000000000003</v>
      </c>
    </row>
    <row r="313" spans="1:4" x14ac:dyDescent="0.25">
      <c r="A313" s="254" t="s">
        <v>351</v>
      </c>
      <c r="B313" t="s">
        <v>673</v>
      </c>
      <c r="C313" s="255">
        <v>0.03</v>
      </c>
      <c r="D313" s="255">
        <f>ROUND((1+'Indicadores Financeiros'!$F$9)*(1+'Indicadores Financeiros'!$F$10)/(1-'Indicadores Financeiros'!$F$12-'Indicadores Financeiros'!$F$11-Tabela3[[#This Row],[ISS]])-1,4)</f>
        <v>0.29260000000000003</v>
      </c>
    </row>
    <row r="314" spans="1:4" x14ac:dyDescent="0.25">
      <c r="A314" s="254" t="s">
        <v>361</v>
      </c>
      <c r="B314" t="s">
        <v>674</v>
      </c>
      <c r="C314" s="255">
        <v>0.04</v>
      </c>
      <c r="D314" s="255">
        <f>ROUND((1+'Indicadores Financeiros'!$F$9)*(1+'Indicadores Financeiros'!$F$10)/(1-'Indicadores Financeiros'!$F$12-'Indicadores Financeiros'!$F$11-Tabela3[[#This Row],[ISS]])-1,4)</f>
        <v>0.3075</v>
      </c>
    </row>
    <row r="315" spans="1:4" x14ac:dyDescent="0.25">
      <c r="A315" s="254" t="s">
        <v>351</v>
      </c>
      <c r="B315" t="s">
        <v>675</v>
      </c>
      <c r="C315" s="255">
        <v>0.05</v>
      </c>
      <c r="D315" s="255">
        <f>ROUND((1+'Indicadores Financeiros'!$F$9)*(1+'Indicadores Financeiros'!$F$10)/(1-'Indicadores Financeiros'!$F$12-'Indicadores Financeiros'!$F$11-Tabela3[[#This Row],[ISS]])-1,4)</f>
        <v>0.32279999999999998</v>
      </c>
    </row>
    <row r="316" spans="1:4" x14ac:dyDescent="0.25">
      <c r="A316" s="254" t="s">
        <v>372</v>
      </c>
      <c r="B316" t="s">
        <v>676</v>
      </c>
      <c r="C316" s="255">
        <v>0.05</v>
      </c>
      <c r="D316" s="255">
        <f>ROUND((1+'Indicadores Financeiros'!$F$9)*(1+'Indicadores Financeiros'!$F$10)/(1-'Indicadores Financeiros'!$F$12-'Indicadores Financeiros'!$F$11-Tabela3[[#This Row],[ISS]])-1,4)</f>
        <v>0.32279999999999998</v>
      </c>
    </row>
    <row r="317" spans="1:4" x14ac:dyDescent="0.25">
      <c r="A317" s="254" t="s">
        <v>351</v>
      </c>
      <c r="B317" t="s">
        <v>677</v>
      </c>
      <c r="C317" s="255">
        <v>0.02</v>
      </c>
      <c r="D317" s="255">
        <f>ROUND((1+'Indicadores Financeiros'!$F$9)*(1+'Indicadores Financeiros'!$F$10)/(1-'Indicadores Financeiros'!$F$12-'Indicadores Financeiros'!$F$11-Tabela3[[#This Row],[ISS]])-1,4)</f>
        <v>0.27810000000000001</v>
      </c>
    </row>
    <row r="318" spans="1:4" x14ac:dyDescent="0.25">
      <c r="A318" s="254" t="s">
        <v>351</v>
      </c>
      <c r="B318" t="s">
        <v>678</v>
      </c>
      <c r="C318" s="255">
        <v>0.05</v>
      </c>
      <c r="D318" s="255">
        <f>ROUND((1+'Indicadores Financeiros'!$F$9)*(1+'Indicadores Financeiros'!$F$10)/(1-'Indicadores Financeiros'!$F$12-'Indicadores Financeiros'!$F$11-Tabela3[[#This Row],[ISS]])-1,4)</f>
        <v>0.32279999999999998</v>
      </c>
    </row>
    <row r="319" spans="1:4" x14ac:dyDescent="0.25">
      <c r="A319" s="254" t="s">
        <v>351</v>
      </c>
      <c r="B319" t="s">
        <v>679</v>
      </c>
      <c r="C319" s="255">
        <v>0.02</v>
      </c>
      <c r="D319" s="255">
        <f>ROUND((1+'Indicadores Financeiros'!$F$9)*(1+'Indicadores Financeiros'!$F$10)/(1-'Indicadores Financeiros'!$F$12-'Indicadores Financeiros'!$F$11-Tabela3[[#This Row],[ISS]])-1,4)</f>
        <v>0.27810000000000001</v>
      </c>
    </row>
    <row r="320" spans="1:4" x14ac:dyDescent="0.25">
      <c r="A320" s="254" t="s">
        <v>381</v>
      </c>
      <c r="B320" t="s">
        <v>680</v>
      </c>
      <c r="C320" s="255">
        <v>2.5000000000000001E-2</v>
      </c>
      <c r="D320" s="255">
        <f>ROUND((1+'Indicadores Financeiros'!$F$9)*(1+'Indicadores Financeiros'!$F$10)/(1-'Indicadores Financeiros'!$F$12-'Indicadores Financeiros'!$F$11-Tabela3[[#This Row],[ISS]])-1,4)</f>
        <v>0.2853</v>
      </c>
    </row>
    <row r="321" spans="1:4" x14ac:dyDescent="0.25">
      <c r="A321" s="254" t="s">
        <v>363</v>
      </c>
      <c r="B321" t="s">
        <v>681</v>
      </c>
      <c r="C321" s="255">
        <v>0.05</v>
      </c>
      <c r="D321" s="255">
        <f>ROUND((1+'Indicadores Financeiros'!$F$9)*(1+'Indicadores Financeiros'!$F$10)/(1-'Indicadores Financeiros'!$F$12-'Indicadores Financeiros'!$F$11-Tabela3[[#This Row],[ISS]])-1,4)</f>
        <v>0.32279999999999998</v>
      </c>
    </row>
    <row r="322" spans="1:4" x14ac:dyDescent="0.25">
      <c r="A322" s="254" t="s">
        <v>381</v>
      </c>
      <c r="B322" t="s">
        <v>682</v>
      </c>
      <c r="C322" s="255">
        <v>0.03</v>
      </c>
      <c r="D322" s="255">
        <f>ROUND((1+'Indicadores Financeiros'!$F$9)*(1+'Indicadores Financeiros'!$F$10)/(1-'Indicadores Financeiros'!$F$12-'Indicadores Financeiros'!$F$11-Tabela3[[#This Row],[ISS]])-1,4)</f>
        <v>0.29260000000000003</v>
      </c>
    </row>
  </sheetData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599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AACC2809D345E438F7C4FB66EF27D73" ma:contentTypeVersion="13" ma:contentTypeDescription="Crie um novo documento." ma:contentTypeScope="" ma:versionID="f1a61cd4a382ed18cda516e3497a2d9d">
  <xsd:schema xmlns:xsd="http://www.w3.org/2001/XMLSchema" xmlns:xs="http://www.w3.org/2001/XMLSchema" xmlns:p="http://schemas.microsoft.com/office/2006/metadata/properties" xmlns:ns2="25a0eb21-4c73-484f-900e-07f062c08868" xmlns:ns3="6b7c8730-a88d-4646-adae-a7acf4fe76de" targetNamespace="http://schemas.microsoft.com/office/2006/metadata/properties" ma:root="true" ma:fieldsID="81f3204823a8a52b7a2ff79bdff568c1" ns2:_="" ns3:_="">
    <xsd:import namespace="25a0eb21-4c73-484f-900e-07f062c08868"/>
    <xsd:import namespace="6b7c8730-a88d-4646-adae-a7acf4fe76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a0eb21-4c73-484f-900e-07f062c088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09e0922a-a576-4ac9-82f5-36725c33d7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7c8730-a88d-4646-adae-a7acf4fe76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896a5edd-9332-4b5c-beec-eba54cffc4a1}" ma:internalName="TaxCatchAll" ma:showField="CatchAllData" ma:web="6b7c8730-a88d-4646-adae-a7acf4fe76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a0eb21-4c73-484f-900e-07f062c08868">
      <Terms xmlns="http://schemas.microsoft.com/office/infopath/2007/PartnerControls"/>
    </lcf76f155ced4ddcb4097134ff3c332f>
    <TaxCatchAll xmlns="6b7c8730-a88d-4646-adae-a7acf4fe76de" xsi:nil="true"/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B Q D A A B Q S w M E F A A C A A g A v I E b U / a s l q u k A A A A 9 Q A A A B I A H A B D b 2 5 m a W c v U G F j a 2 F n Z S 5 4 b W w g o h g A K K A U A A A A A A A A A A A A A A A A A A A A A A A A A A A A h Y 9 N D o I w G E S v Q r q n h f o T J R 8 l 0 a 0 k R h P j t i k V G q E Q W i x 3 c + G R v I I Y R d 2 5 n H l v M X O / 3 i D p q 9 K 7 y N a o W s c o x A H y p B Z 1 p n Q e o 8 6 e / A V K G G y 5 O P N c e o O s T d S b L E a F t U 1 E i H M O u w m u 2 5 z Q I A j J M d 3 s R S E r j j 6 y + i / 7 S h v L t Z C I w e E 1 h l G 8 n O H 5 d J g E Z O w g V f r L 6 c C e 9 K e E d V f a r p W s s f 5 q B 2 S M Q N 4 X 2 A N Q S w M E F A A C A A g A v I E b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y B G 1 M o i k e 4 D g A A A B E A A A A T A B w A R m 9 y b X V s Y X M v U 2 V j d G l v b j E u b S C i G A A o o B Q A A A A A A A A A A A A A A A A A A A A A A A A A A A A r T k 0 u y c z P U w i G 0 I b W A F B L A Q I t A B Q A A g A I A L y B G 1 P 2 r J a r p A A A A P U A A A A S A A A A A A A A A A A A A A A A A A A A A A B D b 2 5 m a W c v U G F j a 2 F n Z S 5 4 b W x Q S w E C L Q A U A A I A C A C 8 g R t T D 8 r p q 6 Q A A A D p A A A A E w A A A A A A A A A A A A A A A A D w A A A A W 0 N v b n R l b n R f V H l w Z X N d L n h t b F B L A Q I t A B Q A A g A I A L y B G 1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9 v j a 7 E o x 9 Q Z m y J 2 v c y t Z p A A A A A A I A A A A A A B B m A A A A A Q A A I A A A A H K a u T q A R e U B O 1 F 1 S f B 9 I z Z R l x k V A m l Q Y U V S j h e E j h 6 I A A A A A A 6 A A A A A A g A A I A A A A P 6 v k 8 c h C 4 2 L a u 3 e q Y P b A 4 P h H G r 6 w M N N F c U I 9 Q n m v o J K U A A A A A R 9 9 S P o y V p U G I h 8 6 s 1 u c k 6 f 0 A x 7 Q / W o o c / Y i K 9 8 U / g c Q q N B 6 W F k d j y U + S s H i r O V 9 N I b G p t Z + M u l m 9 S g Z 0 1 2 N k O u u p C 3 A Q x B x X b z 4 l x Z u V R d Q A A A A H j v v d l b b B l C j u k c c Z f A Y D 4 b n a N p M U C a M G F b n F W o U 5 / e f p 6 3 n F 3 A 3 Q 0 k q 3 O p P 1 + q u x y + D 9 A 8 m R h h 9 W 1 M g J p s A H k = < / D a t a M a s h u p > 
</file>

<file path=customXml/itemProps1.xml><?xml version="1.0" encoding="utf-8"?>
<ds:datastoreItem xmlns:ds="http://schemas.openxmlformats.org/officeDocument/2006/customXml" ds:itemID="{E7BB24C4-9B22-4F96-9A6D-EDE529FBF50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4B7A23-CF41-4901-8CD5-EE9C31BD0A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a0eb21-4c73-484f-900e-07f062c08868"/>
    <ds:schemaRef ds:uri="6b7c8730-a88d-4646-adae-a7acf4fe76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41877D3-443A-44B7-9455-6EFE234A84FF}">
  <ds:schemaRefs>
    <ds:schemaRef ds:uri="http://purl.org/dc/dcmitype/"/>
    <ds:schemaRef ds:uri="25a0eb21-4c73-484f-900e-07f062c08868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6b7c8730-a88d-4646-adae-a7acf4fe76de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F2B62809-DE77-4456-83D1-76372CBF2D5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10</vt:i4>
      </vt:variant>
    </vt:vector>
  </HeadingPairs>
  <TitlesOfParts>
    <vt:vector size="21" baseType="lpstr">
      <vt:lpstr>Home</vt:lpstr>
      <vt:lpstr>Dados Cadastrais</vt:lpstr>
      <vt:lpstr>Indicadores Financeiros</vt:lpstr>
      <vt:lpstr>Relatório Custo</vt:lpstr>
      <vt:lpstr>Custo  Resumido</vt:lpstr>
      <vt:lpstr>Custo  Resumido por local</vt:lpstr>
      <vt:lpstr>Custo por Função</vt:lpstr>
      <vt:lpstr>Tabela de Códigos e Valores</vt:lpstr>
      <vt:lpstr>Centro de Custo - ISS</vt:lpstr>
      <vt:lpstr>Tabela Custo Localidade</vt:lpstr>
      <vt:lpstr>BIP</vt:lpstr>
      <vt:lpstr>'Custo  Resumido'!Area_de_impressao</vt:lpstr>
      <vt:lpstr>'Custo  Resumido por local'!Area_de_impressao</vt:lpstr>
      <vt:lpstr>'Custo por Função'!Area_de_impressao</vt:lpstr>
      <vt:lpstr>'Dados Cadastrais'!Area_de_impressao</vt:lpstr>
      <vt:lpstr>'Indicadores Financeiros'!Area_de_impressao</vt:lpstr>
      <vt:lpstr>'Relatório Custo'!Area_de_impressao</vt:lpstr>
      <vt:lpstr>'Tabela Custo Localidade'!Area_de_impressao</vt:lpstr>
      <vt:lpstr>'Tabela de Códigos e Valores'!Area_de_impressao</vt:lpstr>
      <vt:lpstr>'Relatório Custo'!Titulos_de_impressao</vt:lpstr>
      <vt:lpstr>'Tabela de Códigos e Valores'!Titulos_de_impressao</vt:lpstr>
    </vt:vector>
  </TitlesOfParts>
  <Manager/>
  <Company>Tribunal de Justiça do Estado de São Paulo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imgaem</dc:creator>
  <cp:keywords/>
  <dc:description/>
  <cp:lastModifiedBy>CAROLINA DOI YAMAMOTO</cp:lastModifiedBy>
  <cp:revision/>
  <cp:lastPrinted>2025-05-18T02:31:25Z</cp:lastPrinted>
  <dcterms:created xsi:type="dcterms:W3CDTF">2016-04-25T14:08:48Z</dcterms:created>
  <dcterms:modified xsi:type="dcterms:W3CDTF">2025-06-05T15:28:04Z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0x0101006AACC2809D345E438F7C4FB66EF27D73</vt:lpwstr>
  </property>
  <property fmtid="{D5CDD505-2E9C-101B-9397-08002B2CF9AE}" pid="3" name="WorkbookGuid">
    <vt:lpwstr>2271443d-021a-4059-a5f4-c381df56440e</vt:lpwstr>
  </property>
  <property fmtid="{D5CDD505-2E9C-101B-9397-08002B2CF9AE}" pid="4" name="MediaServiceImageTags">
    <vt:lpwstr/>
  </property>
</Properties>
</file>

<file path=userCustomization/customUI.xml><?xml version="1.0" encoding="utf-8"?>
<mso:customUI xmlns:mso="http://schemas.microsoft.com/office/2006/01/customui">
  <mso:ribbon>
    <mso:qat>
      <mso:documentControls>
        <mso:control idQ="mso:FileLinksToFiles" visible="true"/>
      </mso:documentControls>
    </mso:qat>
  </mso:ribbon>
</mso:customUI>
</file>